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ветлана\Desktop\СПЕЦСТРОЙПРОЕКТ\2024\Инициатива\Б. Чурашево\285\"/>
    </mc:Choice>
  </mc:AlternateContent>
  <bookViews>
    <workbookView xWindow="0" yWindow="0" windowWidth="24000" windowHeight="9735"/>
  </bookViews>
  <sheets>
    <sheet name="Смета по ФЕР 421+557пр (12" sheetId="6" r:id="rId1"/>
    <sheet name="Source" sheetId="1" r:id="rId2"/>
    <sheet name="SourceObSm" sheetId="2" r:id="rId3"/>
    <sheet name="SmtRes" sheetId="3" r:id="rId4"/>
    <sheet name="EtalonRes" sheetId="4" r:id="rId5"/>
    <sheet name="SrcKA" sheetId="5" r:id="rId6"/>
  </sheets>
  <definedNames>
    <definedName name="_xlnm.Print_Titles" localSheetId="0">'Смета по ФЕР 421+557пр (12'!$34:$34</definedName>
    <definedName name="_xlnm.Print_Area" localSheetId="0">'Смета по ФЕР 421+557пр (12'!$A$1:$L$279</definedName>
  </definedNames>
  <calcPr calcId="152511" iterate="1"/>
</workbook>
</file>

<file path=xl/calcChain.xml><?xml version="1.0" encoding="utf-8"?>
<calcChain xmlns="http://schemas.openxmlformats.org/spreadsheetml/2006/main">
  <c r="D21" i="6" l="1"/>
  <c r="C21" i="6"/>
  <c r="H277" i="6" l="1"/>
  <c r="H274" i="6"/>
  <c r="C277" i="6"/>
  <c r="J25" i="6"/>
  <c r="J24" i="6"/>
  <c r="C27" i="6"/>
  <c r="D27" i="6"/>
  <c r="C26" i="6"/>
  <c r="D26" i="6"/>
  <c r="C25" i="6"/>
  <c r="D25" i="6"/>
  <c r="L271" i="6"/>
  <c r="K271" i="6"/>
  <c r="J271" i="6"/>
  <c r="C271" i="6"/>
  <c r="L270" i="6"/>
  <c r="K270" i="6"/>
  <c r="J270" i="6"/>
  <c r="C270" i="6"/>
  <c r="G268" i="6"/>
  <c r="G267" i="6"/>
  <c r="L266" i="6"/>
  <c r="J266" i="6"/>
  <c r="L265" i="6"/>
  <c r="J265" i="6"/>
  <c r="B262" i="6"/>
  <c r="J262" i="6"/>
  <c r="L262" i="6" s="1"/>
  <c r="B261" i="6"/>
  <c r="J261" i="6"/>
  <c r="L261" i="6" s="1"/>
  <c r="B255" i="6"/>
  <c r="J255" i="6"/>
  <c r="L255" i="6" s="1"/>
  <c r="B254" i="6"/>
  <c r="J254" i="6"/>
  <c r="L254" i="6" s="1"/>
  <c r="B253" i="6"/>
  <c r="L250" i="6"/>
  <c r="J250" i="6"/>
  <c r="B247" i="6"/>
  <c r="L238" i="6"/>
  <c r="J238" i="6"/>
  <c r="L237" i="6"/>
  <c r="J237" i="6"/>
  <c r="L236" i="6"/>
  <c r="J236" i="6"/>
  <c r="K235" i="6"/>
  <c r="B235" i="6"/>
  <c r="J235" i="6"/>
  <c r="L235" i="6" s="1"/>
  <c r="K234" i="6"/>
  <c r="B234" i="6"/>
  <c r="J234" i="6"/>
  <c r="L234" i="6" s="1"/>
  <c r="K233" i="6"/>
  <c r="B233" i="6"/>
  <c r="J233" i="6"/>
  <c r="J231" i="6" s="1"/>
  <c r="L230" i="6"/>
  <c r="J230" i="6"/>
  <c r="L229" i="6"/>
  <c r="J229" i="6"/>
  <c r="K227" i="6"/>
  <c r="B227" i="6"/>
  <c r="J227" i="6"/>
  <c r="L227" i="6" s="1"/>
  <c r="L225" i="6" s="1"/>
  <c r="L224" i="6"/>
  <c r="J224" i="6"/>
  <c r="K220" i="6"/>
  <c r="L220" i="6" s="1"/>
  <c r="B220" i="6"/>
  <c r="J220" i="6"/>
  <c r="L219" i="6"/>
  <c r="K219" i="6"/>
  <c r="B219" i="6"/>
  <c r="J219" i="6"/>
  <c r="K215" i="6"/>
  <c r="B215" i="6"/>
  <c r="J215" i="6"/>
  <c r="L215" i="6" s="1"/>
  <c r="K214" i="6"/>
  <c r="B214" i="6"/>
  <c r="J214" i="6"/>
  <c r="L214" i="6" s="1"/>
  <c r="L210" i="6"/>
  <c r="J210" i="6"/>
  <c r="L209" i="6"/>
  <c r="J209" i="6"/>
  <c r="L208" i="6"/>
  <c r="J208" i="6"/>
  <c r="K207" i="6"/>
  <c r="B207" i="6"/>
  <c r="J207" i="6"/>
  <c r="L207" i="6" s="1"/>
  <c r="K206" i="6"/>
  <c r="B206" i="6"/>
  <c r="J206" i="6"/>
  <c r="L206" i="6" s="1"/>
  <c r="K205" i="6"/>
  <c r="B205" i="6"/>
  <c r="J205" i="6"/>
  <c r="L205" i="6" s="1"/>
  <c r="L202" i="6"/>
  <c r="J202" i="6"/>
  <c r="L201" i="6"/>
  <c r="J201" i="6"/>
  <c r="K199" i="6"/>
  <c r="B199" i="6"/>
  <c r="J199" i="6"/>
  <c r="L199" i="6" s="1"/>
  <c r="L196" i="6"/>
  <c r="J196" i="6"/>
  <c r="L187" i="6"/>
  <c r="K187" i="6"/>
  <c r="B187" i="6"/>
  <c r="J187" i="6"/>
  <c r="K186" i="6"/>
  <c r="B186" i="6"/>
  <c r="J186" i="6"/>
  <c r="L186" i="6" s="1"/>
  <c r="K185" i="6"/>
  <c r="B185" i="6"/>
  <c r="L182" i="6"/>
  <c r="J182" i="6"/>
  <c r="K179" i="6"/>
  <c r="B179" i="6"/>
  <c r="J168" i="6"/>
  <c r="C168" i="6"/>
  <c r="J167" i="6"/>
  <c r="C167" i="6"/>
  <c r="J166" i="6"/>
  <c r="C166" i="6"/>
  <c r="J165" i="6"/>
  <c r="C165" i="6"/>
  <c r="J164" i="6"/>
  <c r="C164" i="6"/>
  <c r="J163" i="6"/>
  <c r="C163" i="6"/>
  <c r="L162" i="6"/>
  <c r="J162" i="6"/>
  <c r="L161" i="6"/>
  <c r="J161" i="6"/>
  <c r="J157" i="6"/>
  <c r="J154" i="6" s="1"/>
  <c r="J156" i="6"/>
  <c r="J150" i="6"/>
  <c r="J149" i="6"/>
  <c r="L145" i="6"/>
  <c r="J145" i="6"/>
  <c r="X135" i="6"/>
  <c r="U135" i="6"/>
  <c r="S135" i="6"/>
  <c r="P135" i="6"/>
  <c r="BA135" i="6"/>
  <c r="AZ135" i="6"/>
  <c r="AE135" i="6"/>
  <c r="AD135" i="6"/>
  <c r="J134" i="6"/>
  <c r="BH135" i="6" s="1"/>
  <c r="H134" i="6"/>
  <c r="E134" i="6"/>
  <c r="G134" i="6"/>
  <c r="D134" i="6"/>
  <c r="C134" i="6"/>
  <c r="B134" i="6"/>
  <c r="AW133" i="6"/>
  <c r="AO133" i="6"/>
  <c r="BA133" i="6"/>
  <c r="L132" i="6" s="1"/>
  <c r="AZ133" i="6"/>
  <c r="L131" i="6" s="1"/>
  <c r="AE133" i="6"/>
  <c r="J132" i="6" s="1"/>
  <c r="AD133" i="6"/>
  <c r="J131" i="6" s="1"/>
  <c r="G132" i="6"/>
  <c r="E132" i="6"/>
  <c r="G131" i="6"/>
  <c r="E131" i="6"/>
  <c r="G128" i="6"/>
  <c r="E128" i="6"/>
  <c r="G127" i="6"/>
  <c r="E127" i="6"/>
  <c r="G126" i="6"/>
  <c r="E126" i="6"/>
  <c r="D126" i="6"/>
  <c r="C126" i="6"/>
  <c r="B126" i="6"/>
  <c r="J125" i="6"/>
  <c r="AA133" i="6" s="1"/>
  <c r="H125" i="6"/>
  <c r="L124" i="6"/>
  <c r="AT133" i="6" s="1"/>
  <c r="J124" i="6"/>
  <c r="X133" i="6" s="1"/>
  <c r="K124" i="6"/>
  <c r="H124" i="6"/>
  <c r="J123" i="6"/>
  <c r="P133" i="6" s="1"/>
  <c r="H123" i="6"/>
  <c r="L122" i="6"/>
  <c r="J122" i="6"/>
  <c r="U133" i="6" s="1"/>
  <c r="K122" i="6"/>
  <c r="H122" i="6"/>
  <c r="C121" i="6"/>
  <c r="E120" i="6"/>
  <c r="G120" i="6"/>
  <c r="D120" i="6"/>
  <c r="C120" i="6"/>
  <c r="B120" i="6"/>
  <c r="X119" i="6"/>
  <c r="U119" i="6"/>
  <c r="S119" i="6"/>
  <c r="P119" i="6"/>
  <c r="BA119" i="6"/>
  <c r="AZ119" i="6"/>
  <c r="AE119" i="6"/>
  <c r="AD119" i="6"/>
  <c r="C118" i="6"/>
  <c r="J117" i="6"/>
  <c r="AA119" i="6" s="1"/>
  <c r="H117" i="6"/>
  <c r="E117" i="6"/>
  <c r="G117" i="6"/>
  <c r="D117" i="6"/>
  <c r="C117" i="6"/>
  <c r="B117" i="6"/>
  <c r="AW116" i="6"/>
  <c r="AO116" i="6"/>
  <c r="BA116" i="6"/>
  <c r="AZ116" i="6"/>
  <c r="AE116" i="6"/>
  <c r="AD116" i="6"/>
  <c r="G115" i="6"/>
  <c r="E115" i="6"/>
  <c r="G114" i="6"/>
  <c r="E114" i="6"/>
  <c r="AW112" i="6"/>
  <c r="AN112" i="6"/>
  <c r="BA112" i="6"/>
  <c r="AZ112" i="6"/>
  <c r="AE112" i="6"/>
  <c r="AD112" i="6"/>
  <c r="J112" i="6"/>
  <c r="BH112" i="6" s="1"/>
  <c r="H112" i="6"/>
  <c r="E112" i="6"/>
  <c r="G112" i="6"/>
  <c r="D112" i="6"/>
  <c r="C112" i="6"/>
  <c r="B112" i="6"/>
  <c r="G110" i="6"/>
  <c r="E110" i="6"/>
  <c r="G109" i="6"/>
  <c r="E109" i="6"/>
  <c r="G108" i="6"/>
  <c r="E108" i="6"/>
  <c r="D108" i="6"/>
  <c r="C108" i="6"/>
  <c r="B108" i="6"/>
  <c r="G107" i="6"/>
  <c r="E107" i="6"/>
  <c r="D107" i="6"/>
  <c r="C107" i="6"/>
  <c r="B107" i="6"/>
  <c r="J106" i="6"/>
  <c r="AA116" i="6" s="1"/>
  <c r="H106" i="6"/>
  <c r="L105" i="6"/>
  <c r="AT116" i="6" s="1"/>
  <c r="J105" i="6"/>
  <c r="X116" i="6" s="1"/>
  <c r="K105" i="6"/>
  <c r="H105" i="6"/>
  <c r="J104" i="6"/>
  <c r="P116" i="6" s="1"/>
  <c r="H104" i="6"/>
  <c r="L103" i="6"/>
  <c r="AR116" i="6" s="1"/>
  <c r="J103" i="6"/>
  <c r="U116" i="6" s="1"/>
  <c r="K103" i="6"/>
  <c r="H103" i="6"/>
  <c r="C102" i="6"/>
  <c r="E101" i="6"/>
  <c r="G101" i="6"/>
  <c r="D101" i="6"/>
  <c r="C101" i="6"/>
  <c r="B101" i="6"/>
  <c r="X100" i="6"/>
  <c r="U100" i="6"/>
  <c r="S100" i="6"/>
  <c r="P100" i="6"/>
  <c r="BA100" i="6"/>
  <c r="AZ100" i="6"/>
  <c r="AE100" i="6"/>
  <c r="AD100" i="6"/>
  <c r="J99" i="6"/>
  <c r="BH100" i="6" s="1"/>
  <c r="H99" i="6"/>
  <c r="E99" i="6"/>
  <c r="G99" i="6"/>
  <c r="D99" i="6"/>
  <c r="C99" i="6"/>
  <c r="B99" i="6"/>
  <c r="J97" i="6"/>
  <c r="AW98" i="6"/>
  <c r="AO98" i="6"/>
  <c r="BA98" i="6"/>
  <c r="L97" i="6" s="1"/>
  <c r="AZ98" i="6"/>
  <c r="L96" i="6" s="1"/>
  <c r="AE98" i="6"/>
  <c r="AD98" i="6"/>
  <c r="J96" i="6" s="1"/>
  <c r="G97" i="6"/>
  <c r="E97" i="6"/>
  <c r="G96" i="6"/>
  <c r="E96" i="6"/>
  <c r="G93" i="6"/>
  <c r="E93" i="6"/>
  <c r="G92" i="6"/>
  <c r="E92" i="6"/>
  <c r="G91" i="6"/>
  <c r="E91" i="6"/>
  <c r="D91" i="6"/>
  <c r="C91" i="6"/>
  <c r="B91" i="6"/>
  <c r="J90" i="6"/>
  <c r="AA98" i="6" s="1"/>
  <c r="H90" i="6"/>
  <c r="L89" i="6"/>
  <c r="AT98" i="6" s="1"/>
  <c r="J89" i="6"/>
  <c r="X98" i="6" s="1"/>
  <c r="K89" i="6"/>
  <c r="H89" i="6"/>
  <c r="J88" i="6"/>
  <c r="P98" i="6" s="1"/>
  <c r="H88" i="6"/>
  <c r="L87" i="6"/>
  <c r="J87" i="6"/>
  <c r="U98" i="6" s="1"/>
  <c r="K87" i="6"/>
  <c r="H87" i="6"/>
  <c r="H94" i="6" s="1"/>
  <c r="C86" i="6"/>
  <c r="E85" i="6"/>
  <c r="G85" i="6"/>
  <c r="D85" i="6"/>
  <c r="C85" i="6"/>
  <c r="B85" i="6"/>
  <c r="X84" i="6"/>
  <c r="U84" i="6"/>
  <c r="S84" i="6"/>
  <c r="P84" i="6"/>
  <c r="BA84" i="6"/>
  <c r="AZ84" i="6"/>
  <c r="AE84" i="6"/>
  <c r="AD84" i="6"/>
  <c r="J83" i="6"/>
  <c r="O84" i="6" s="1"/>
  <c r="H83" i="6"/>
  <c r="E83" i="6"/>
  <c r="G83" i="6"/>
  <c r="D83" i="6"/>
  <c r="C83" i="6"/>
  <c r="B83" i="6"/>
  <c r="X82" i="6"/>
  <c r="U82" i="6"/>
  <c r="S82" i="6"/>
  <c r="P82" i="6"/>
  <c r="BA82" i="6"/>
  <c r="AZ82" i="6"/>
  <c r="AE82" i="6"/>
  <c r="AD82" i="6"/>
  <c r="C81" i="6"/>
  <c r="J80" i="6"/>
  <c r="I82" i="6" s="1"/>
  <c r="H80" i="6"/>
  <c r="E80" i="6"/>
  <c r="G80" i="6"/>
  <c r="D80" i="6"/>
  <c r="C80" i="6"/>
  <c r="B80" i="6"/>
  <c r="X79" i="6"/>
  <c r="U79" i="6"/>
  <c r="S79" i="6"/>
  <c r="P79" i="6"/>
  <c r="BA79" i="6"/>
  <c r="AZ79" i="6"/>
  <c r="AE79" i="6"/>
  <c r="AD79" i="6"/>
  <c r="C78" i="6"/>
  <c r="J77" i="6"/>
  <c r="I79" i="6" s="1"/>
  <c r="H77" i="6"/>
  <c r="E77" i="6"/>
  <c r="G77" i="6"/>
  <c r="D77" i="6"/>
  <c r="C77" i="6"/>
  <c r="B77" i="6"/>
  <c r="X76" i="6"/>
  <c r="U76" i="6"/>
  <c r="S76" i="6"/>
  <c r="P76" i="6"/>
  <c r="BA76" i="6"/>
  <c r="AZ76" i="6"/>
  <c r="AE76" i="6"/>
  <c r="AD76" i="6"/>
  <c r="C75" i="6"/>
  <c r="J74" i="6"/>
  <c r="I76" i="6" s="1"/>
  <c r="H74" i="6"/>
  <c r="E74" i="6"/>
  <c r="G74" i="6"/>
  <c r="D74" i="6"/>
  <c r="C74" i="6"/>
  <c r="B74" i="6"/>
  <c r="X73" i="6"/>
  <c r="U73" i="6"/>
  <c r="S73" i="6"/>
  <c r="P73" i="6"/>
  <c r="BA73" i="6"/>
  <c r="AZ73" i="6"/>
  <c r="AE73" i="6"/>
  <c r="AD73" i="6"/>
  <c r="C72" i="6"/>
  <c r="J71" i="6"/>
  <c r="I73" i="6" s="1"/>
  <c r="H71" i="6"/>
  <c r="E71" i="6"/>
  <c r="G71" i="6"/>
  <c r="D71" i="6"/>
  <c r="C71" i="6"/>
  <c r="B71" i="6"/>
  <c r="AW70" i="6"/>
  <c r="AO70" i="6"/>
  <c r="BA70" i="6"/>
  <c r="L69" i="6" s="1"/>
  <c r="AZ70" i="6"/>
  <c r="L68" i="6" s="1"/>
  <c r="AE70" i="6"/>
  <c r="J69" i="6" s="1"/>
  <c r="AD70" i="6"/>
  <c r="J68" i="6" s="1"/>
  <c r="G69" i="6"/>
  <c r="E69" i="6"/>
  <c r="G68" i="6"/>
  <c r="E68" i="6"/>
  <c r="G65" i="6"/>
  <c r="E65" i="6"/>
  <c r="G64" i="6"/>
  <c r="E64" i="6"/>
  <c r="J63" i="6"/>
  <c r="AA70" i="6" s="1"/>
  <c r="H63" i="6"/>
  <c r="L62" i="6"/>
  <c r="AT70" i="6" s="1"/>
  <c r="J62" i="6"/>
  <c r="X70" i="6" s="1"/>
  <c r="K62" i="6"/>
  <c r="H62" i="6"/>
  <c r="J61" i="6"/>
  <c r="P70" i="6" s="1"/>
  <c r="H61" i="6"/>
  <c r="L60" i="6"/>
  <c r="AR70" i="6" s="1"/>
  <c r="J60" i="6"/>
  <c r="K60" i="6"/>
  <c r="H60" i="6"/>
  <c r="C59" i="6"/>
  <c r="E58" i="6"/>
  <c r="G58" i="6"/>
  <c r="D58" i="6"/>
  <c r="C58" i="6"/>
  <c r="B58" i="6"/>
  <c r="X57" i="6"/>
  <c r="U57" i="6"/>
  <c r="S57" i="6"/>
  <c r="P57" i="6"/>
  <c r="BA57" i="6"/>
  <c r="AZ57" i="6"/>
  <c r="AE57" i="6"/>
  <c r="AD57" i="6"/>
  <c r="I57" i="6"/>
  <c r="C56" i="6"/>
  <c r="J55" i="6"/>
  <c r="BH57" i="6" s="1"/>
  <c r="H55" i="6"/>
  <c r="E55" i="6"/>
  <c r="G55" i="6"/>
  <c r="D55" i="6"/>
  <c r="C55" i="6"/>
  <c r="B55" i="6"/>
  <c r="X54" i="6"/>
  <c r="U54" i="6"/>
  <c r="S54" i="6"/>
  <c r="P54" i="6"/>
  <c r="BA54" i="6"/>
  <c r="AZ54" i="6"/>
  <c r="AE54" i="6"/>
  <c r="AD54" i="6"/>
  <c r="C53" i="6"/>
  <c r="J52" i="6"/>
  <c r="BH54" i="6" s="1"/>
  <c r="H52" i="6"/>
  <c r="E52" i="6"/>
  <c r="G52" i="6"/>
  <c r="D52" i="6"/>
  <c r="C52" i="6"/>
  <c r="B52" i="6"/>
  <c r="J50" i="6"/>
  <c r="AW51" i="6"/>
  <c r="AO51" i="6"/>
  <c r="BA51" i="6"/>
  <c r="AZ51" i="6"/>
  <c r="AE51" i="6"/>
  <c r="AD51" i="6"/>
  <c r="J49" i="6" s="1"/>
  <c r="G50" i="6"/>
  <c r="E50" i="6"/>
  <c r="G49" i="6"/>
  <c r="E49" i="6"/>
  <c r="G46" i="6"/>
  <c r="E46" i="6"/>
  <c r="G45" i="6"/>
  <c r="E45" i="6"/>
  <c r="G44" i="6"/>
  <c r="E44" i="6"/>
  <c r="D44" i="6"/>
  <c r="C44" i="6"/>
  <c r="B44" i="6"/>
  <c r="G43" i="6"/>
  <c r="E43" i="6"/>
  <c r="D43" i="6"/>
  <c r="C43" i="6"/>
  <c r="B43" i="6"/>
  <c r="J42" i="6"/>
  <c r="H42" i="6"/>
  <c r="L41" i="6"/>
  <c r="AT51" i="6" s="1"/>
  <c r="J41" i="6"/>
  <c r="X51" i="6" s="1"/>
  <c r="K41" i="6"/>
  <c r="H41" i="6"/>
  <c r="J40" i="6"/>
  <c r="P51" i="6" s="1"/>
  <c r="H40" i="6"/>
  <c r="L39" i="6"/>
  <c r="J39" i="6"/>
  <c r="S51" i="6" s="1"/>
  <c r="K39" i="6"/>
  <c r="H39" i="6"/>
  <c r="C38" i="6"/>
  <c r="E37" i="6"/>
  <c r="G37" i="6"/>
  <c r="D37" i="6"/>
  <c r="C37" i="6"/>
  <c r="B37" i="6"/>
  <c r="O79" i="6" l="1"/>
  <c r="U51" i="6"/>
  <c r="AN70" i="6"/>
  <c r="J47" i="6"/>
  <c r="H47" i="6"/>
  <c r="O57" i="6"/>
  <c r="O82" i="6"/>
  <c r="AA84" i="6"/>
  <c r="L113" i="6"/>
  <c r="L203" i="6"/>
  <c r="L259" i="6"/>
  <c r="L249" i="6"/>
  <c r="L115" i="6"/>
  <c r="J115" i="6"/>
  <c r="H129" i="6"/>
  <c r="L197" i="6"/>
  <c r="L194" i="6" s="1"/>
  <c r="L192" i="6" s="1"/>
  <c r="I54" i="6"/>
  <c r="I70" i="6"/>
  <c r="J189" i="6"/>
  <c r="O73" i="6"/>
  <c r="J258" i="6"/>
  <c r="H111" i="6"/>
  <c r="AA112" i="6"/>
  <c r="O133" i="6"/>
  <c r="L212" i="6"/>
  <c r="J259" i="6"/>
  <c r="J144" i="6"/>
  <c r="O98" i="6"/>
  <c r="O54" i="6"/>
  <c r="L67" i="6"/>
  <c r="J153" i="6"/>
  <c r="O76" i="6"/>
  <c r="AN98" i="6"/>
  <c r="AR98" i="6"/>
  <c r="L95" i="6" s="1"/>
  <c r="L114" i="6"/>
  <c r="J203" i="6"/>
  <c r="L233" i="6"/>
  <c r="L231" i="6" s="1"/>
  <c r="L222" i="6" s="1"/>
  <c r="L217" i="6" s="1"/>
  <c r="L263" i="6" s="1"/>
  <c r="J190" i="6"/>
  <c r="AN133" i="6"/>
  <c r="AR133" i="6"/>
  <c r="L130" i="6" s="1"/>
  <c r="J142" i="6"/>
  <c r="J140" i="6" s="1"/>
  <c r="J179" i="6"/>
  <c r="L257" i="6"/>
  <c r="L189" i="6"/>
  <c r="L49" i="6"/>
  <c r="BH51" i="6"/>
  <c r="H66" i="6"/>
  <c r="J114" i="6"/>
  <c r="O116" i="6" s="1"/>
  <c r="J249" i="6"/>
  <c r="J181" i="6"/>
  <c r="AA100" i="6"/>
  <c r="O100" i="6"/>
  <c r="I100" i="6"/>
  <c r="L190" i="6"/>
  <c r="O119" i="6"/>
  <c r="I119" i="6"/>
  <c r="BH119" i="6"/>
  <c r="J197" i="6"/>
  <c r="J212" i="6"/>
  <c r="J247" i="6"/>
  <c r="AR51" i="6"/>
  <c r="AA51" i="6"/>
  <c r="I51" i="6"/>
  <c r="J152" i="6"/>
  <c r="J48" i="6"/>
  <c r="L181" i="6"/>
  <c r="L144" i="6"/>
  <c r="BH70" i="6"/>
  <c r="S70" i="6"/>
  <c r="J67" i="6" s="1"/>
  <c r="J66" i="6"/>
  <c r="O70" i="6"/>
  <c r="U70" i="6"/>
  <c r="AA135" i="6"/>
  <c r="O135" i="6"/>
  <c r="I135" i="6"/>
  <c r="L152" i="6"/>
  <c r="J225" i="6"/>
  <c r="J222" i="6" s="1"/>
  <c r="J217" i="6" s="1"/>
  <c r="J263" i="6" s="1"/>
  <c r="L258" i="6"/>
  <c r="O51" i="6"/>
  <c r="AA54" i="6"/>
  <c r="AA57" i="6"/>
  <c r="BH73" i="6"/>
  <c r="BH76" i="6"/>
  <c r="BH79" i="6"/>
  <c r="BH82" i="6"/>
  <c r="I84" i="6"/>
  <c r="J94" i="6"/>
  <c r="S98" i="6"/>
  <c r="J95" i="6" s="1"/>
  <c r="BH98" i="6"/>
  <c r="J111" i="6"/>
  <c r="O112" i="6"/>
  <c r="S116" i="6"/>
  <c r="J113" i="6" s="1"/>
  <c r="J129" i="6"/>
  <c r="S133" i="6"/>
  <c r="J130" i="6" s="1"/>
  <c r="BH133" i="6"/>
  <c r="L153" i="6"/>
  <c r="AA73" i="6"/>
  <c r="AA76" i="6"/>
  <c r="AA79" i="6"/>
  <c r="AA82" i="6"/>
  <c r="BH84" i="6"/>
  <c r="J257" i="6"/>
  <c r="L50" i="6"/>
  <c r="I98" i="6"/>
  <c r="I133" i="6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1" i="3"/>
  <c r="Y1" i="3"/>
  <c r="CY1" i="3"/>
  <c r="CZ1" i="3"/>
  <c r="DA1" i="3"/>
  <c r="DB1" i="3"/>
  <c r="DC1" i="3"/>
  <c r="A2" i="3"/>
  <c r="Y2" i="3"/>
  <c r="CY2" i="3"/>
  <c r="CZ2" i="3"/>
  <c r="DA2" i="3"/>
  <c r="DB2" i="3"/>
  <c r="DC2" i="3"/>
  <c r="A3" i="3"/>
  <c r="Y3" i="3"/>
  <c r="CY3" i="3"/>
  <c r="CZ3" i="3"/>
  <c r="DB3" i="3" s="1"/>
  <c r="DA3" i="3"/>
  <c r="DC3" i="3"/>
  <c r="A4" i="3"/>
  <c r="Y4" i="3"/>
  <c r="CY4" i="3"/>
  <c r="CZ4" i="3"/>
  <c r="DB4" i="3" s="1"/>
  <c r="DA4" i="3"/>
  <c r="DC4" i="3"/>
  <c r="A5" i="3"/>
  <c r="Y5" i="3"/>
  <c r="CY5" i="3"/>
  <c r="CZ5" i="3"/>
  <c r="DA5" i="3"/>
  <c r="DB5" i="3"/>
  <c r="DC5" i="3"/>
  <c r="A6" i="3"/>
  <c r="Y6" i="3"/>
  <c r="CY6" i="3"/>
  <c r="CZ6" i="3"/>
  <c r="DA6" i="3"/>
  <c r="DB6" i="3"/>
  <c r="DC6" i="3"/>
  <c r="A7" i="3"/>
  <c r="Y7" i="3"/>
  <c r="CY7" i="3"/>
  <c r="CZ7" i="3"/>
  <c r="DB7" i="3" s="1"/>
  <c r="DA7" i="3"/>
  <c r="DC7" i="3"/>
  <c r="A8" i="3"/>
  <c r="Y8" i="3"/>
  <c r="CY8" i="3"/>
  <c r="CZ8" i="3"/>
  <c r="DB8" i="3" s="1"/>
  <c r="DA8" i="3"/>
  <c r="DC8" i="3"/>
  <c r="A9" i="3"/>
  <c r="Y9" i="3"/>
  <c r="CY9" i="3"/>
  <c r="CZ9" i="3"/>
  <c r="DA9" i="3"/>
  <c r="DB9" i="3"/>
  <c r="DC9" i="3"/>
  <c r="A10" i="3"/>
  <c r="Y10" i="3"/>
  <c r="CY10" i="3"/>
  <c r="CZ10" i="3"/>
  <c r="DA10" i="3"/>
  <c r="DB10" i="3"/>
  <c r="DC10" i="3"/>
  <c r="A11" i="3"/>
  <c r="Y11" i="3"/>
  <c r="CY11" i="3"/>
  <c r="CZ11" i="3"/>
  <c r="DB11" i="3" s="1"/>
  <c r="DA11" i="3"/>
  <c r="DC11" i="3"/>
  <c r="A12" i="3"/>
  <c r="Y12" i="3"/>
  <c r="CY12" i="3"/>
  <c r="CZ12" i="3"/>
  <c r="DB12" i="3" s="1"/>
  <c r="DA12" i="3"/>
  <c r="DC12" i="3"/>
  <c r="A13" i="3"/>
  <c r="Y13" i="3"/>
  <c r="CY13" i="3"/>
  <c r="CZ13" i="3"/>
  <c r="DA13" i="3"/>
  <c r="DB13" i="3"/>
  <c r="DC13" i="3"/>
  <c r="A14" i="3"/>
  <c r="Y14" i="3"/>
  <c r="CY14" i="3"/>
  <c r="CZ14" i="3"/>
  <c r="DA14" i="3"/>
  <c r="DB14" i="3"/>
  <c r="DC14" i="3"/>
  <c r="A15" i="3"/>
  <c r="Y15" i="3"/>
  <c r="CY15" i="3"/>
  <c r="CZ15" i="3"/>
  <c r="DB15" i="3" s="1"/>
  <c r="DA15" i="3"/>
  <c r="DC15" i="3"/>
  <c r="A16" i="3"/>
  <c r="Y16" i="3"/>
  <c r="CY16" i="3"/>
  <c r="CZ16" i="3"/>
  <c r="DB16" i="3" s="1"/>
  <c r="DA16" i="3"/>
  <c r="DC16" i="3"/>
  <c r="A17" i="3"/>
  <c r="Y17" i="3"/>
  <c r="CY17" i="3"/>
  <c r="CZ17" i="3"/>
  <c r="DA17" i="3"/>
  <c r="DB17" i="3"/>
  <c r="DC17" i="3"/>
  <c r="A18" i="3"/>
  <c r="Y18" i="3"/>
  <c r="CY18" i="3"/>
  <c r="CZ18" i="3"/>
  <c r="DA18" i="3"/>
  <c r="DB18" i="3"/>
  <c r="DC18" i="3"/>
  <c r="A19" i="3"/>
  <c r="Y19" i="3"/>
  <c r="CY19" i="3"/>
  <c r="CZ19" i="3"/>
  <c r="DB19" i="3" s="1"/>
  <c r="DA19" i="3"/>
  <c r="DC19" i="3"/>
  <c r="A20" i="3"/>
  <c r="Y20" i="3"/>
  <c r="CY20" i="3"/>
  <c r="CZ20" i="3"/>
  <c r="DB20" i="3" s="1"/>
  <c r="DA20" i="3"/>
  <c r="DC20" i="3"/>
  <c r="A21" i="3"/>
  <c r="Y21" i="3"/>
  <c r="CY21" i="3"/>
  <c r="CZ21" i="3"/>
  <c r="DA21" i="3"/>
  <c r="DB21" i="3"/>
  <c r="DC21" i="3"/>
  <c r="A22" i="3"/>
  <c r="Y22" i="3"/>
  <c r="CY22" i="3"/>
  <c r="CZ22" i="3"/>
  <c r="DA22" i="3"/>
  <c r="DB22" i="3"/>
  <c r="DC22" i="3"/>
  <c r="A23" i="3"/>
  <c r="Y23" i="3"/>
  <c r="CY23" i="3"/>
  <c r="CZ23" i="3"/>
  <c r="DB23" i="3" s="1"/>
  <c r="DA23" i="3"/>
  <c r="DC23" i="3"/>
  <c r="A24" i="3"/>
  <c r="Y24" i="3"/>
  <c r="CY24" i="3"/>
  <c r="CZ24" i="3"/>
  <c r="DB24" i="3" s="1"/>
  <c r="DA24" i="3"/>
  <c r="DC24" i="3"/>
  <c r="A25" i="3"/>
  <c r="Y25" i="3"/>
  <c r="CY25" i="3"/>
  <c r="CZ25" i="3"/>
  <c r="DA25" i="3"/>
  <c r="DB25" i="3"/>
  <c r="DC25" i="3"/>
  <c r="A26" i="3"/>
  <c r="Y26" i="3"/>
  <c r="CY26" i="3"/>
  <c r="CZ26" i="3"/>
  <c r="DA26" i="3"/>
  <c r="DB26" i="3"/>
  <c r="DC26" i="3"/>
  <c r="A27" i="3"/>
  <c r="Y27" i="3"/>
  <c r="CY27" i="3"/>
  <c r="CZ27" i="3"/>
  <c r="DB27" i="3" s="1"/>
  <c r="DA27" i="3"/>
  <c r="DC27" i="3"/>
  <c r="A28" i="3"/>
  <c r="Y28" i="3"/>
  <c r="CY28" i="3"/>
  <c r="CZ28" i="3"/>
  <c r="DB28" i="3" s="1"/>
  <c r="DA28" i="3"/>
  <c r="DC28" i="3"/>
  <c r="A29" i="3"/>
  <c r="Y29" i="3"/>
  <c r="CY29" i="3"/>
  <c r="CZ29" i="3"/>
  <c r="DA29" i="3"/>
  <c r="DB29" i="3"/>
  <c r="DC29" i="3"/>
  <c r="A30" i="3"/>
  <c r="Y30" i="3"/>
  <c r="CY30" i="3"/>
  <c r="CZ30" i="3"/>
  <c r="DA30" i="3"/>
  <c r="DB30" i="3"/>
  <c r="DC30" i="3"/>
  <c r="A31" i="3"/>
  <c r="Y31" i="3"/>
  <c r="CY31" i="3"/>
  <c r="CZ31" i="3"/>
  <c r="DB31" i="3" s="1"/>
  <c r="DA31" i="3"/>
  <c r="DC31" i="3"/>
  <c r="A32" i="3"/>
  <c r="Y32" i="3"/>
  <c r="CY32" i="3"/>
  <c r="CZ32" i="3"/>
  <c r="DB32" i="3" s="1"/>
  <c r="DA32" i="3"/>
  <c r="DC32" i="3"/>
  <c r="A33" i="3"/>
  <c r="Y33" i="3"/>
  <c r="CY33" i="3"/>
  <c r="CZ33" i="3"/>
  <c r="DA33" i="3"/>
  <c r="DB33" i="3"/>
  <c r="DC33" i="3"/>
  <c r="A34" i="3"/>
  <c r="Y34" i="3"/>
  <c r="CY34" i="3"/>
  <c r="CZ34" i="3"/>
  <c r="DA34" i="3"/>
  <c r="DB34" i="3"/>
  <c r="DC34" i="3"/>
  <c r="A35" i="3"/>
  <c r="Y35" i="3"/>
  <c r="CY35" i="3"/>
  <c r="CZ35" i="3"/>
  <c r="DB35" i="3" s="1"/>
  <c r="DA35" i="3"/>
  <c r="DC35" i="3"/>
  <c r="A36" i="3"/>
  <c r="Y36" i="3"/>
  <c r="CY36" i="3"/>
  <c r="CZ36" i="3"/>
  <c r="DB36" i="3" s="1"/>
  <c r="DA36" i="3"/>
  <c r="DC36" i="3"/>
  <c r="A37" i="3"/>
  <c r="Y37" i="3"/>
  <c r="CY37" i="3"/>
  <c r="CZ37" i="3"/>
  <c r="DA37" i="3"/>
  <c r="DB37" i="3"/>
  <c r="DC37" i="3"/>
  <c r="A38" i="3"/>
  <c r="Y38" i="3"/>
  <c r="CY38" i="3"/>
  <c r="CZ38" i="3"/>
  <c r="DA38" i="3"/>
  <c r="DB38" i="3"/>
  <c r="DC38" i="3"/>
  <c r="A39" i="3"/>
  <c r="Y39" i="3"/>
  <c r="CY39" i="3"/>
  <c r="CZ39" i="3"/>
  <c r="DB39" i="3" s="1"/>
  <c r="DA39" i="3"/>
  <c r="DC39" i="3"/>
  <c r="A40" i="3"/>
  <c r="Y40" i="3"/>
  <c r="CY40" i="3"/>
  <c r="CZ40" i="3"/>
  <c r="DB40" i="3" s="1"/>
  <c r="DA40" i="3"/>
  <c r="DC40" i="3"/>
  <c r="A41" i="3"/>
  <c r="Y41" i="3"/>
  <c r="CY41" i="3"/>
  <c r="CZ41" i="3"/>
  <c r="DA41" i="3"/>
  <c r="DB41" i="3"/>
  <c r="DC41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D24" i="1"/>
  <c r="E26" i="1"/>
  <c r="Z26" i="1"/>
  <c r="AA26" i="1"/>
  <c r="AM26" i="1"/>
  <c r="AN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C28" i="1"/>
  <c r="D28" i="1"/>
  <c r="I28" i="1"/>
  <c r="K28" i="1"/>
  <c r="AC28" i="1"/>
  <c r="AE28" i="1"/>
  <c r="CS28" i="1" s="1"/>
  <c r="R28" i="1" s="1"/>
  <c r="HI28" i="1" s="1"/>
  <c r="AF28" i="1"/>
  <c r="AG28" i="1"/>
  <c r="CU28" i="1" s="1"/>
  <c r="T28" i="1" s="1"/>
  <c r="AH28" i="1"/>
  <c r="AI28" i="1"/>
  <c r="CW28" i="1" s="1"/>
  <c r="V28" i="1" s="1"/>
  <c r="AJ28" i="1"/>
  <c r="CT28" i="1"/>
  <c r="S28" i="1" s="1"/>
  <c r="CV28" i="1"/>
  <c r="U28" i="1" s="1"/>
  <c r="CX28" i="1"/>
  <c r="W28" i="1" s="1"/>
  <c r="FR28" i="1"/>
  <c r="GL28" i="1"/>
  <c r="GO28" i="1"/>
  <c r="GP28" i="1"/>
  <c r="GV28" i="1"/>
  <c r="GX28" i="1"/>
  <c r="HC28" i="1"/>
  <c r="I29" i="1"/>
  <c r="AC29" i="1"/>
  <c r="AD29" i="1"/>
  <c r="CR29" i="1" s="1"/>
  <c r="Q29" i="1" s="1"/>
  <c r="AE29" i="1"/>
  <c r="AF29" i="1"/>
  <c r="CT29" i="1" s="1"/>
  <c r="S29" i="1" s="1"/>
  <c r="AG29" i="1"/>
  <c r="AH29" i="1"/>
  <c r="CV29" i="1" s="1"/>
  <c r="U29" i="1" s="1"/>
  <c r="AI29" i="1"/>
  <c r="AJ29" i="1"/>
  <c r="CX29" i="1" s="1"/>
  <c r="W29" i="1" s="1"/>
  <c r="CQ29" i="1"/>
  <c r="P29" i="1" s="1"/>
  <c r="CS29" i="1"/>
  <c r="R29" i="1" s="1"/>
  <c r="HI29" i="1" s="1"/>
  <c r="CU29" i="1"/>
  <c r="T29" i="1" s="1"/>
  <c r="CW29" i="1"/>
  <c r="V29" i="1" s="1"/>
  <c r="FR29" i="1"/>
  <c r="GL29" i="1"/>
  <c r="GO29" i="1"/>
  <c r="GP29" i="1"/>
  <c r="GV29" i="1"/>
  <c r="HC29" i="1" s="1"/>
  <c r="GX29" i="1" s="1"/>
  <c r="I30" i="1"/>
  <c r="AC30" i="1"/>
  <c r="CQ30" i="1" s="1"/>
  <c r="P30" i="1" s="1"/>
  <c r="AE30" i="1"/>
  <c r="AD30" i="1" s="1"/>
  <c r="CR30" i="1" s="1"/>
  <c r="Q30" i="1" s="1"/>
  <c r="AF30" i="1"/>
  <c r="AG30" i="1"/>
  <c r="CU30" i="1" s="1"/>
  <c r="T30" i="1" s="1"/>
  <c r="AH30" i="1"/>
  <c r="AI30" i="1"/>
  <c r="CW30" i="1" s="1"/>
  <c r="V30" i="1" s="1"/>
  <c r="AJ30" i="1"/>
  <c r="CT30" i="1"/>
  <c r="S30" i="1" s="1"/>
  <c r="CV30" i="1"/>
  <c r="U30" i="1" s="1"/>
  <c r="CX30" i="1"/>
  <c r="W30" i="1" s="1"/>
  <c r="FR30" i="1"/>
  <c r="GL30" i="1"/>
  <c r="GO30" i="1"/>
  <c r="GP30" i="1"/>
  <c r="GV30" i="1"/>
  <c r="GX30" i="1"/>
  <c r="HC30" i="1"/>
  <c r="I31" i="1"/>
  <c r="K31" i="1"/>
  <c r="AC31" i="1"/>
  <c r="AE31" i="1"/>
  <c r="CS31" i="1" s="1"/>
  <c r="R31" i="1" s="1"/>
  <c r="HI31" i="1" s="1"/>
  <c r="AF31" i="1"/>
  <c r="AG31" i="1"/>
  <c r="CU31" i="1" s="1"/>
  <c r="T31" i="1" s="1"/>
  <c r="AH31" i="1"/>
  <c r="AI31" i="1"/>
  <c r="CW31" i="1" s="1"/>
  <c r="V31" i="1" s="1"/>
  <c r="AJ31" i="1"/>
  <c r="CT31" i="1"/>
  <c r="S31" i="1" s="1"/>
  <c r="CV31" i="1"/>
  <c r="U31" i="1" s="1"/>
  <c r="CX31" i="1"/>
  <c r="W31" i="1" s="1"/>
  <c r="FR31" i="1"/>
  <c r="GL31" i="1"/>
  <c r="GO31" i="1"/>
  <c r="GP31" i="1"/>
  <c r="GV31" i="1"/>
  <c r="GX31" i="1"/>
  <c r="HC31" i="1"/>
  <c r="I32" i="1"/>
  <c r="K32" i="1"/>
  <c r="AC32" i="1"/>
  <c r="CQ32" i="1" s="1"/>
  <c r="P32" i="1" s="1"/>
  <c r="AE32" i="1"/>
  <c r="AD32" i="1" s="1"/>
  <c r="CR32" i="1" s="1"/>
  <c r="Q32" i="1" s="1"/>
  <c r="AF32" i="1"/>
  <c r="AG32" i="1"/>
  <c r="CU32" i="1" s="1"/>
  <c r="T32" i="1" s="1"/>
  <c r="AH32" i="1"/>
  <c r="AI32" i="1"/>
  <c r="CW32" i="1" s="1"/>
  <c r="V32" i="1" s="1"/>
  <c r="AJ32" i="1"/>
  <c r="CT32" i="1"/>
  <c r="S32" i="1" s="1"/>
  <c r="CV32" i="1"/>
  <c r="U32" i="1" s="1"/>
  <c r="CX32" i="1"/>
  <c r="W32" i="1" s="1"/>
  <c r="FR32" i="1"/>
  <c r="GL32" i="1"/>
  <c r="GO32" i="1"/>
  <c r="GP32" i="1"/>
  <c r="GV32" i="1"/>
  <c r="GX32" i="1"/>
  <c r="HC32" i="1"/>
  <c r="C33" i="1"/>
  <c r="D33" i="1"/>
  <c r="I33" i="1"/>
  <c r="K33" i="1"/>
  <c r="AC33" i="1"/>
  <c r="CQ33" i="1" s="1"/>
  <c r="P33" i="1" s="1"/>
  <c r="CP33" i="1" s="1"/>
  <c r="O33" i="1" s="1"/>
  <c r="AE33" i="1"/>
  <c r="AD33" i="1" s="1"/>
  <c r="CR33" i="1" s="1"/>
  <c r="Q33" i="1" s="1"/>
  <c r="AF33" i="1"/>
  <c r="AG33" i="1"/>
  <c r="CU33" i="1" s="1"/>
  <c r="T33" i="1" s="1"/>
  <c r="AH33" i="1"/>
  <c r="AI33" i="1"/>
  <c r="CW33" i="1" s="1"/>
  <c r="V33" i="1" s="1"/>
  <c r="AJ33" i="1"/>
  <c r="CT33" i="1"/>
  <c r="S33" i="1" s="1"/>
  <c r="CV33" i="1"/>
  <c r="U33" i="1" s="1"/>
  <c r="CX33" i="1"/>
  <c r="W33" i="1" s="1"/>
  <c r="FR33" i="1"/>
  <c r="GL33" i="1"/>
  <c r="GO33" i="1"/>
  <c r="GP33" i="1"/>
  <c r="GV33" i="1"/>
  <c r="GX33" i="1"/>
  <c r="HC33" i="1"/>
  <c r="I34" i="1"/>
  <c r="S34" i="1"/>
  <c r="U34" i="1"/>
  <c r="AC34" i="1"/>
  <c r="AE34" i="1"/>
  <c r="AF34" i="1"/>
  <c r="AG34" i="1"/>
  <c r="CU34" i="1" s="1"/>
  <c r="T34" i="1" s="1"/>
  <c r="AH34" i="1"/>
  <c r="AI34" i="1"/>
  <c r="CW34" i="1" s="1"/>
  <c r="V34" i="1" s="1"/>
  <c r="AJ34" i="1"/>
  <c r="CT34" i="1"/>
  <c r="CV34" i="1"/>
  <c r="CX34" i="1"/>
  <c r="W34" i="1" s="1"/>
  <c r="FR34" i="1"/>
  <c r="GL34" i="1"/>
  <c r="GO34" i="1"/>
  <c r="GP34" i="1"/>
  <c r="GV34" i="1"/>
  <c r="HC34" i="1" s="1"/>
  <c r="GX34" i="1"/>
  <c r="I35" i="1"/>
  <c r="K35" i="1"/>
  <c r="U35" i="1"/>
  <c r="AC35" i="1"/>
  <c r="AE35" i="1"/>
  <c r="AD35" i="1" s="1"/>
  <c r="AF35" i="1"/>
  <c r="AB35" i="1" s="1"/>
  <c r="AG35" i="1"/>
  <c r="CU35" i="1" s="1"/>
  <c r="T35" i="1" s="1"/>
  <c r="AH35" i="1"/>
  <c r="AI35" i="1"/>
  <c r="AJ35" i="1"/>
  <c r="CX35" i="1" s="1"/>
  <c r="W35" i="1" s="1"/>
  <c r="CQ35" i="1"/>
  <c r="P35" i="1" s="1"/>
  <c r="CR35" i="1"/>
  <c r="Q35" i="1" s="1"/>
  <c r="CS35" i="1"/>
  <c r="R35" i="1" s="1"/>
  <c r="CV35" i="1"/>
  <c r="CW35" i="1"/>
  <c r="V35" i="1" s="1"/>
  <c r="FR35" i="1"/>
  <c r="GL35" i="1"/>
  <c r="GO35" i="1"/>
  <c r="GP35" i="1"/>
  <c r="GV35" i="1"/>
  <c r="HC35" i="1"/>
  <c r="GX35" i="1" s="1"/>
  <c r="HI35" i="1"/>
  <c r="I36" i="1"/>
  <c r="K36" i="1"/>
  <c r="P36" i="1"/>
  <c r="T36" i="1"/>
  <c r="AC36" i="1"/>
  <c r="AE36" i="1"/>
  <c r="CS36" i="1" s="1"/>
  <c r="R36" i="1" s="1"/>
  <c r="HI36" i="1" s="1"/>
  <c r="AF36" i="1"/>
  <c r="AG36" i="1"/>
  <c r="AH36" i="1"/>
  <c r="CV36" i="1" s="1"/>
  <c r="U36" i="1" s="1"/>
  <c r="AI36" i="1"/>
  <c r="CW36" i="1" s="1"/>
  <c r="V36" i="1" s="1"/>
  <c r="AJ36" i="1"/>
  <c r="CQ36" i="1"/>
  <c r="CT36" i="1"/>
  <c r="S36" i="1" s="1"/>
  <c r="CZ36" i="1" s="1"/>
  <c r="Y36" i="1" s="1"/>
  <c r="CU36" i="1"/>
  <c r="CX36" i="1"/>
  <c r="W36" i="1" s="1"/>
  <c r="CY36" i="1"/>
  <c r="X36" i="1" s="1"/>
  <c r="FR36" i="1"/>
  <c r="GL36" i="1"/>
  <c r="GO36" i="1"/>
  <c r="GP36" i="1"/>
  <c r="GV36" i="1"/>
  <c r="HC36" i="1" s="1"/>
  <c r="GX36" i="1" s="1"/>
  <c r="I37" i="1"/>
  <c r="K37" i="1"/>
  <c r="S37" i="1"/>
  <c r="AC37" i="1"/>
  <c r="CQ37" i="1" s="1"/>
  <c r="P37" i="1" s="1"/>
  <c r="CP37" i="1" s="1"/>
  <c r="O37" i="1" s="1"/>
  <c r="AE37" i="1"/>
  <c r="AD37" i="1" s="1"/>
  <c r="CR37" i="1" s="1"/>
  <c r="Q37" i="1" s="1"/>
  <c r="AF37" i="1"/>
  <c r="AG37" i="1"/>
  <c r="CU37" i="1" s="1"/>
  <c r="T37" i="1" s="1"/>
  <c r="AH37" i="1"/>
  <c r="AI37" i="1"/>
  <c r="AJ37" i="1"/>
  <c r="CS37" i="1"/>
  <c r="R37" i="1" s="1"/>
  <c r="HI37" i="1" s="1"/>
  <c r="CT37" i="1"/>
  <c r="CV37" i="1"/>
  <c r="U37" i="1" s="1"/>
  <c r="CW37" i="1"/>
  <c r="V37" i="1" s="1"/>
  <c r="CX37" i="1"/>
  <c r="W37" i="1" s="1"/>
  <c r="FR37" i="1"/>
  <c r="GL37" i="1"/>
  <c r="GO37" i="1"/>
  <c r="GP37" i="1"/>
  <c r="GV37" i="1"/>
  <c r="HC37" i="1"/>
  <c r="GX37" i="1" s="1"/>
  <c r="V38" i="1"/>
  <c r="AC38" i="1"/>
  <c r="CQ38" i="1" s="1"/>
  <c r="P38" i="1" s="1"/>
  <c r="AE38" i="1"/>
  <c r="AD38" i="1" s="1"/>
  <c r="CR38" i="1" s="1"/>
  <c r="Q38" i="1" s="1"/>
  <c r="AF38" i="1"/>
  <c r="AG38" i="1"/>
  <c r="CU38" i="1" s="1"/>
  <c r="T38" i="1" s="1"/>
  <c r="AH38" i="1"/>
  <c r="AI38" i="1"/>
  <c r="AJ38" i="1"/>
  <c r="CS38" i="1"/>
  <c r="R38" i="1" s="1"/>
  <c r="HI38" i="1" s="1"/>
  <c r="CT38" i="1"/>
  <c r="S38" i="1" s="1"/>
  <c r="CV38" i="1"/>
  <c r="U38" i="1" s="1"/>
  <c r="CW38" i="1"/>
  <c r="CX38" i="1"/>
  <c r="W38" i="1" s="1"/>
  <c r="FR38" i="1"/>
  <c r="GL38" i="1"/>
  <c r="GO38" i="1"/>
  <c r="GP38" i="1"/>
  <c r="GV38" i="1"/>
  <c r="HC38" i="1"/>
  <c r="GX38" i="1" s="1"/>
  <c r="C39" i="1"/>
  <c r="D39" i="1"/>
  <c r="I39" i="1"/>
  <c r="K39" i="1"/>
  <c r="V39" i="1"/>
  <c r="AC39" i="1"/>
  <c r="CQ39" i="1" s="1"/>
  <c r="P39" i="1" s="1"/>
  <c r="CP39" i="1" s="1"/>
  <c r="O39" i="1" s="1"/>
  <c r="AE39" i="1"/>
  <c r="AD39" i="1" s="1"/>
  <c r="CR39" i="1" s="1"/>
  <c r="Q39" i="1" s="1"/>
  <c r="AF39" i="1"/>
  <c r="CT39" i="1" s="1"/>
  <c r="S39" i="1" s="1"/>
  <c r="AG39" i="1"/>
  <c r="CU39" i="1" s="1"/>
  <c r="T39" i="1" s="1"/>
  <c r="AH39" i="1"/>
  <c r="AI39" i="1"/>
  <c r="AJ39" i="1"/>
  <c r="CX39" i="1" s="1"/>
  <c r="W39" i="1" s="1"/>
  <c r="CS39" i="1"/>
  <c r="R39" i="1" s="1"/>
  <c r="HI39" i="1" s="1"/>
  <c r="CV39" i="1"/>
  <c r="U39" i="1" s="1"/>
  <c r="CW39" i="1"/>
  <c r="FR39" i="1"/>
  <c r="GL39" i="1"/>
  <c r="GO39" i="1"/>
  <c r="GP39" i="1"/>
  <c r="GV39" i="1"/>
  <c r="HC39" i="1"/>
  <c r="GX39" i="1" s="1"/>
  <c r="I40" i="1"/>
  <c r="U40" i="1" s="1"/>
  <c r="AC40" i="1"/>
  <c r="AE40" i="1"/>
  <c r="AD40" i="1" s="1"/>
  <c r="AB40" i="1" s="1"/>
  <c r="AF40" i="1"/>
  <c r="CT40" i="1" s="1"/>
  <c r="S40" i="1" s="1"/>
  <c r="AG40" i="1"/>
  <c r="AH40" i="1"/>
  <c r="AI40" i="1"/>
  <c r="CW40" i="1" s="1"/>
  <c r="V40" i="1" s="1"/>
  <c r="AJ40" i="1"/>
  <c r="CX40" i="1" s="1"/>
  <c r="W40" i="1" s="1"/>
  <c r="CQ40" i="1"/>
  <c r="CS40" i="1"/>
  <c r="R40" i="1" s="1"/>
  <c r="HI40" i="1" s="1"/>
  <c r="CU40" i="1"/>
  <c r="T40" i="1" s="1"/>
  <c r="CV40" i="1"/>
  <c r="FR40" i="1"/>
  <c r="GL40" i="1"/>
  <c r="GO40" i="1"/>
  <c r="GP40" i="1"/>
  <c r="GV40" i="1"/>
  <c r="HC40" i="1"/>
  <c r="GX40" i="1" s="1"/>
  <c r="U41" i="1"/>
  <c r="AB41" i="1"/>
  <c r="AC41" i="1"/>
  <c r="CQ41" i="1" s="1"/>
  <c r="P41" i="1" s="1"/>
  <c r="AE41" i="1"/>
  <c r="AD41" i="1" s="1"/>
  <c r="AF41" i="1"/>
  <c r="CT41" i="1" s="1"/>
  <c r="S41" i="1" s="1"/>
  <c r="AG41" i="1"/>
  <c r="CU41" i="1" s="1"/>
  <c r="T41" i="1" s="1"/>
  <c r="AH41" i="1"/>
  <c r="AI41" i="1"/>
  <c r="AJ41" i="1"/>
  <c r="CX41" i="1" s="1"/>
  <c r="W41" i="1" s="1"/>
  <c r="CR41" i="1"/>
  <c r="Q41" i="1" s="1"/>
  <c r="CS41" i="1"/>
  <c r="R41" i="1" s="1"/>
  <c r="CV41" i="1"/>
  <c r="CW41" i="1"/>
  <c r="V41" i="1" s="1"/>
  <c r="FR41" i="1"/>
  <c r="GL41" i="1"/>
  <c r="GO41" i="1"/>
  <c r="GP41" i="1"/>
  <c r="GV41" i="1"/>
  <c r="HC41" i="1"/>
  <c r="GX41" i="1" s="1"/>
  <c r="C42" i="1"/>
  <c r="D42" i="1"/>
  <c r="I42" i="1"/>
  <c r="K42" i="1"/>
  <c r="U42" i="1"/>
  <c r="AB42" i="1"/>
  <c r="AC42" i="1"/>
  <c r="CQ42" i="1" s="1"/>
  <c r="P42" i="1" s="1"/>
  <c r="AE42" i="1"/>
  <c r="AD42" i="1" s="1"/>
  <c r="AF42" i="1"/>
  <c r="CT42" i="1" s="1"/>
  <c r="AG42" i="1"/>
  <c r="CU42" i="1" s="1"/>
  <c r="AH42" i="1"/>
  <c r="AI42" i="1"/>
  <c r="AJ42" i="1"/>
  <c r="CX42" i="1" s="1"/>
  <c r="CR42" i="1"/>
  <c r="Q42" i="1" s="1"/>
  <c r="CS42" i="1"/>
  <c r="R42" i="1" s="1"/>
  <c r="HI42" i="1" s="1"/>
  <c r="CV42" i="1"/>
  <c r="CW42" i="1"/>
  <c r="V42" i="1" s="1"/>
  <c r="FR42" i="1"/>
  <c r="GL42" i="1"/>
  <c r="GO42" i="1"/>
  <c r="GP42" i="1"/>
  <c r="GV42" i="1"/>
  <c r="HC42" i="1"/>
  <c r="GX42" i="1" s="1"/>
  <c r="AC43" i="1"/>
  <c r="AE43" i="1"/>
  <c r="CS43" i="1" s="1"/>
  <c r="AF43" i="1"/>
  <c r="CT43" i="1" s="1"/>
  <c r="AG43" i="1"/>
  <c r="AH43" i="1"/>
  <c r="AI43" i="1"/>
  <c r="CW43" i="1" s="1"/>
  <c r="AJ43" i="1"/>
  <c r="CX43" i="1" s="1"/>
  <c r="CQ43" i="1"/>
  <c r="CU43" i="1"/>
  <c r="CV43" i="1"/>
  <c r="FR43" i="1"/>
  <c r="GL43" i="1"/>
  <c r="GO43" i="1"/>
  <c r="GP43" i="1"/>
  <c r="GV43" i="1"/>
  <c r="HC43" i="1" s="1"/>
  <c r="AC44" i="1"/>
  <c r="AD44" i="1"/>
  <c r="CR44" i="1" s="1"/>
  <c r="AE44" i="1"/>
  <c r="CS44" i="1" s="1"/>
  <c r="AF44" i="1"/>
  <c r="AG44" i="1"/>
  <c r="CU44" i="1" s="1"/>
  <c r="AH44" i="1"/>
  <c r="CV44" i="1" s="1"/>
  <c r="AI44" i="1"/>
  <c r="CW44" i="1" s="1"/>
  <c r="AJ44" i="1"/>
  <c r="CQ44" i="1"/>
  <c r="CT44" i="1"/>
  <c r="CX44" i="1"/>
  <c r="FR44" i="1"/>
  <c r="GL44" i="1"/>
  <c r="GO44" i="1"/>
  <c r="GP44" i="1"/>
  <c r="GV44" i="1"/>
  <c r="HC44" i="1" s="1"/>
  <c r="I45" i="1"/>
  <c r="V45" i="1"/>
  <c r="AC45" i="1"/>
  <c r="CQ45" i="1" s="1"/>
  <c r="AE45" i="1"/>
  <c r="AD45" i="1" s="1"/>
  <c r="CR45" i="1" s="1"/>
  <c r="Q45" i="1" s="1"/>
  <c r="AF45" i="1"/>
  <c r="AG45" i="1"/>
  <c r="CU45" i="1" s="1"/>
  <c r="T45" i="1" s="1"/>
  <c r="AH45" i="1"/>
  <c r="AI45" i="1"/>
  <c r="AJ45" i="1"/>
  <c r="CS45" i="1"/>
  <c r="R45" i="1" s="1"/>
  <c r="HI45" i="1" s="1"/>
  <c r="CT45" i="1"/>
  <c r="S45" i="1" s="1"/>
  <c r="CV45" i="1"/>
  <c r="CW45" i="1"/>
  <c r="CX45" i="1"/>
  <c r="W45" i="1" s="1"/>
  <c r="FR45" i="1"/>
  <c r="GL45" i="1"/>
  <c r="GO45" i="1"/>
  <c r="GP45" i="1"/>
  <c r="GV45" i="1"/>
  <c r="HC45" i="1"/>
  <c r="GX45" i="1" s="1"/>
  <c r="I46" i="1"/>
  <c r="K46" i="1"/>
  <c r="AC46" i="1"/>
  <c r="AB46" i="1" s="1"/>
  <c r="AE46" i="1"/>
  <c r="AD46" i="1" s="1"/>
  <c r="CR46" i="1" s="1"/>
  <c r="Q46" i="1" s="1"/>
  <c r="AF46" i="1"/>
  <c r="AG46" i="1"/>
  <c r="AH46" i="1"/>
  <c r="AI46" i="1"/>
  <c r="CW46" i="1" s="1"/>
  <c r="V46" i="1" s="1"/>
  <c r="AJ46" i="1"/>
  <c r="CQ46" i="1"/>
  <c r="P46" i="1" s="1"/>
  <c r="CT46" i="1"/>
  <c r="S46" i="1" s="1"/>
  <c r="CU46" i="1"/>
  <c r="T46" i="1" s="1"/>
  <c r="CV46" i="1"/>
  <c r="U46" i="1" s="1"/>
  <c r="CX46" i="1"/>
  <c r="W46" i="1" s="1"/>
  <c r="FR46" i="1"/>
  <c r="GL46" i="1"/>
  <c r="GO46" i="1"/>
  <c r="GP46" i="1"/>
  <c r="GV46" i="1"/>
  <c r="HC46" i="1" s="1"/>
  <c r="GX46" i="1" s="1"/>
  <c r="C47" i="1"/>
  <c r="D47" i="1"/>
  <c r="I47" i="1"/>
  <c r="I48" i="1" s="1"/>
  <c r="K47" i="1"/>
  <c r="AC47" i="1"/>
  <c r="AB47" i="1" s="1"/>
  <c r="AE47" i="1"/>
  <c r="AD47" i="1" s="1"/>
  <c r="CR47" i="1" s="1"/>
  <c r="Q47" i="1" s="1"/>
  <c r="AF47" i="1"/>
  <c r="AG47" i="1"/>
  <c r="AH47" i="1"/>
  <c r="AI47" i="1"/>
  <c r="CW47" i="1" s="1"/>
  <c r="V47" i="1" s="1"/>
  <c r="AJ47" i="1"/>
  <c r="CQ47" i="1"/>
  <c r="P47" i="1" s="1"/>
  <c r="CP47" i="1" s="1"/>
  <c r="O47" i="1" s="1"/>
  <c r="CT47" i="1"/>
  <c r="S47" i="1" s="1"/>
  <c r="CU47" i="1"/>
  <c r="T47" i="1" s="1"/>
  <c r="CV47" i="1"/>
  <c r="U47" i="1" s="1"/>
  <c r="CX47" i="1"/>
  <c r="W47" i="1" s="1"/>
  <c r="FR47" i="1"/>
  <c r="GL47" i="1"/>
  <c r="GO47" i="1"/>
  <c r="GP47" i="1"/>
  <c r="GV47" i="1"/>
  <c r="HC47" i="1" s="1"/>
  <c r="GX47" i="1" s="1"/>
  <c r="AC48" i="1"/>
  <c r="AB48" i="1" s="1"/>
  <c r="AD48" i="1"/>
  <c r="CR48" i="1" s="1"/>
  <c r="Q48" i="1" s="1"/>
  <c r="AE48" i="1"/>
  <c r="AF48" i="1"/>
  <c r="AG48" i="1"/>
  <c r="AH48" i="1"/>
  <c r="CV48" i="1" s="1"/>
  <c r="U48" i="1" s="1"/>
  <c r="AI48" i="1"/>
  <c r="AJ48" i="1"/>
  <c r="CQ48" i="1"/>
  <c r="CS48" i="1"/>
  <c r="R48" i="1" s="1"/>
  <c r="HI48" i="1" s="1"/>
  <c r="CT48" i="1"/>
  <c r="S48" i="1" s="1"/>
  <c r="CU48" i="1"/>
  <c r="CW48" i="1"/>
  <c r="CX48" i="1"/>
  <c r="W48" i="1" s="1"/>
  <c r="FR48" i="1"/>
  <c r="GL48" i="1"/>
  <c r="GO48" i="1"/>
  <c r="GP48" i="1"/>
  <c r="GV48" i="1"/>
  <c r="HC48" i="1" s="1"/>
  <c r="GX48" i="1" s="1"/>
  <c r="AC49" i="1"/>
  <c r="AB49" i="1" s="1"/>
  <c r="AD49" i="1"/>
  <c r="CR49" i="1" s="1"/>
  <c r="Q49" i="1" s="1"/>
  <c r="AE49" i="1"/>
  <c r="AF49" i="1"/>
  <c r="AG49" i="1"/>
  <c r="AH49" i="1"/>
  <c r="CV49" i="1" s="1"/>
  <c r="U49" i="1" s="1"/>
  <c r="AI49" i="1"/>
  <c r="AJ49" i="1"/>
  <c r="CQ49" i="1"/>
  <c r="P49" i="1" s="1"/>
  <c r="CS49" i="1"/>
  <c r="R49" i="1" s="1"/>
  <c r="HI49" i="1" s="1"/>
  <c r="CT49" i="1"/>
  <c r="S49" i="1" s="1"/>
  <c r="CU49" i="1"/>
  <c r="T49" i="1" s="1"/>
  <c r="CW49" i="1"/>
  <c r="V49" i="1" s="1"/>
  <c r="CX49" i="1"/>
  <c r="W49" i="1" s="1"/>
  <c r="FR49" i="1"/>
  <c r="GL49" i="1"/>
  <c r="GO49" i="1"/>
  <c r="GP49" i="1"/>
  <c r="GV49" i="1"/>
  <c r="HC49" i="1" s="1"/>
  <c r="GX49" i="1" s="1"/>
  <c r="B51" i="1"/>
  <c r="B26" i="1" s="1"/>
  <c r="C51" i="1"/>
  <c r="C26" i="1" s="1"/>
  <c r="D51" i="1"/>
  <c r="D26" i="1" s="1"/>
  <c r="F51" i="1"/>
  <c r="F26" i="1" s="1"/>
  <c r="G51" i="1"/>
  <c r="G26" i="1" s="1"/>
  <c r="BX51" i="1"/>
  <c r="BX26" i="1" s="1"/>
  <c r="BY51" i="1"/>
  <c r="BY26" i="1" s="1"/>
  <c r="BZ51" i="1"/>
  <c r="BZ26" i="1" s="1"/>
  <c r="CC51" i="1"/>
  <c r="CC26" i="1" s="1"/>
  <c r="CD51" i="1"/>
  <c r="CD26" i="1" s="1"/>
  <c r="CG51" i="1"/>
  <c r="CK51" i="1"/>
  <c r="CL51" i="1"/>
  <c r="CM51" i="1"/>
  <c r="CM26" i="1" s="1"/>
  <c r="B91" i="1"/>
  <c r="B22" i="1" s="1"/>
  <c r="C91" i="1"/>
  <c r="C22" i="1" s="1"/>
  <c r="D91" i="1"/>
  <c r="D22" i="1" s="1"/>
  <c r="F91" i="1"/>
  <c r="F22" i="1" s="1"/>
  <c r="G91" i="1"/>
  <c r="G22" i="1" s="1"/>
  <c r="B123" i="1"/>
  <c r="B18" i="1" s="1"/>
  <c r="C123" i="1"/>
  <c r="C18" i="1" s="1"/>
  <c r="D123" i="1"/>
  <c r="D18" i="1" s="1"/>
  <c r="F123" i="1"/>
  <c r="F18" i="1" s="1"/>
  <c r="G123" i="1"/>
  <c r="G18" i="1" s="1"/>
  <c r="E18" i="2"/>
  <c r="F18" i="2"/>
  <c r="G18" i="2"/>
  <c r="H18" i="2"/>
  <c r="I18" i="2"/>
  <c r="J18" i="2"/>
  <c r="J194" i="6" l="1"/>
  <c r="J192" i="6" s="1"/>
  <c r="BH116" i="6"/>
  <c r="AN51" i="6"/>
  <c r="AN116" i="6"/>
  <c r="I116" i="6"/>
  <c r="J139" i="6"/>
  <c r="J244" i="6"/>
  <c r="J177" i="6"/>
  <c r="L179" i="6"/>
  <c r="L177" i="6" s="1"/>
  <c r="J151" i="6"/>
  <c r="L244" i="6"/>
  <c r="L188" i="6"/>
  <c r="L48" i="6"/>
  <c r="L151" i="6"/>
  <c r="L139" i="6"/>
  <c r="I23" i="6"/>
  <c r="L256" i="6"/>
  <c r="L176" i="6"/>
  <c r="J245" i="6"/>
  <c r="L247" i="6"/>
  <c r="L245" i="6" s="1"/>
  <c r="J176" i="6"/>
  <c r="D24" i="6"/>
  <c r="J23" i="6"/>
  <c r="J188" i="6"/>
  <c r="C24" i="6"/>
  <c r="J253" i="6"/>
  <c r="J148" i="6"/>
  <c r="J146" i="6" s="1"/>
  <c r="J185" i="6"/>
  <c r="J256" i="6"/>
  <c r="CK26" i="1"/>
  <c r="BB51" i="1"/>
  <c r="CP46" i="1"/>
  <c r="O46" i="1" s="1"/>
  <c r="CG26" i="1"/>
  <c r="AX51" i="1"/>
  <c r="V48" i="1"/>
  <c r="P48" i="1"/>
  <c r="CP48" i="1" s="1"/>
  <c r="O48" i="1" s="1"/>
  <c r="CY49" i="1"/>
  <c r="X49" i="1" s="1"/>
  <c r="HJ49" i="1"/>
  <c r="CZ49" i="1"/>
  <c r="Y49" i="1" s="1"/>
  <c r="CL26" i="1"/>
  <c r="BC51" i="1"/>
  <c r="CP49" i="1"/>
  <c r="O49" i="1" s="1"/>
  <c r="T48" i="1"/>
  <c r="HJ47" i="1"/>
  <c r="CY39" i="1"/>
  <c r="X39" i="1" s="1"/>
  <c r="GN39" i="1" s="1"/>
  <c r="HJ39" i="1"/>
  <c r="CZ39" i="1"/>
  <c r="Y39" i="1" s="1"/>
  <c r="CY48" i="1"/>
  <c r="X48" i="1" s="1"/>
  <c r="HJ48" i="1"/>
  <c r="CZ48" i="1"/>
  <c r="Y48" i="1" s="1"/>
  <c r="HJ46" i="1"/>
  <c r="CY45" i="1"/>
  <c r="X45" i="1" s="1"/>
  <c r="HJ45" i="1"/>
  <c r="CZ45" i="1"/>
  <c r="Y45" i="1" s="1"/>
  <c r="CY38" i="1"/>
  <c r="X38" i="1" s="1"/>
  <c r="HJ38" i="1"/>
  <c r="CZ38" i="1"/>
  <c r="Y38" i="1" s="1"/>
  <c r="CP38" i="1"/>
  <c r="O38" i="1" s="1"/>
  <c r="HI41" i="1"/>
  <c r="CZ41" i="1"/>
  <c r="Y41" i="1" s="1"/>
  <c r="AO51" i="1"/>
  <c r="U45" i="1"/>
  <c r="AB45" i="1"/>
  <c r="AB44" i="1"/>
  <c r="W42" i="1"/>
  <c r="AJ51" i="1" s="1"/>
  <c r="S42" i="1"/>
  <c r="CY41" i="1"/>
  <c r="X41" i="1" s="1"/>
  <c r="HJ41" i="1"/>
  <c r="CR40" i="1"/>
  <c r="Q40" i="1" s="1"/>
  <c r="AB38" i="1"/>
  <c r="HJ36" i="1"/>
  <c r="CI51" i="1"/>
  <c r="BD51" i="1"/>
  <c r="CS47" i="1"/>
  <c r="R47" i="1" s="1"/>
  <c r="HI47" i="1" s="1"/>
  <c r="CS46" i="1"/>
  <c r="R46" i="1" s="1"/>
  <c r="HI46" i="1" s="1"/>
  <c r="AD43" i="1"/>
  <c r="P40" i="1"/>
  <c r="CP40" i="1" s="1"/>
  <c r="O40" i="1" s="1"/>
  <c r="AB39" i="1"/>
  <c r="AU51" i="1"/>
  <c r="AQ51" i="1"/>
  <c r="CX37" i="3"/>
  <c r="CX41" i="3"/>
  <c r="CP42" i="1"/>
  <c r="O42" i="1" s="1"/>
  <c r="CX25" i="3"/>
  <c r="CX29" i="3"/>
  <c r="CX33" i="3"/>
  <c r="I43" i="1"/>
  <c r="T43" i="1" s="1"/>
  <c r="I44" i="1"/>
  <c r="W44" i="1" s="1"/>
  <c r="CP41" i="1"/>
  <c r="O41" i="1" s="1"/>
  <c r="CY40" i="1"/>
  <c r="X40" i="1" s="1"/>
  <c r="HJ40" i="1"/>
  <c r="CY37" i="1"/>
  <c r="X37" i="1" s="1"/>
  <c r="GM37" i="1" s="1"/>
  <c r="HJ37" i="1"/>
  <c r="CZ37" i="1"/>
  <c r="Y37" i="1" s="1"/>
  <c r="CP36" i="1"/>
  <c r="O36" i="1" s="1"/>
  <c r="AT51" i="1"/>
  <c r="AP51" i="1"/>
  <c r="P45" i="1"/>
  <c r="CP45" i="1" s="1"/>
  <c r="O45" i="1" s="1"/>
  <c r="U44" i="1"/>
  <c r="Q44" i="1"/>
  <c r="W43" i="1"/>
  <c r="T42" i="1"/>
  <c r="CZ40" i="1"/>
  <c r="Y40" i="1" s="1"/>
  <c r="AB37" i="1"/>
  <c r="AD36" i="1"/>
  <c r="CR36" i="1" s="1"/>
  <c r="Q36" i="1" s="1"/>
  <c r="CX17" i="3"/>
  <c r="CX21" i="3"/>
  <c r="HJ33" i="1"/>
  <c r="CP32" i="1"/>
  <c r="O32" i="1" s="1"/>
  <c r="CY31" i="1"/>
  <c r="X31" i="1" s="1"/>
  <c r="HJ31" i="1"/>
  <c r="CZ31" i="1"/>
  <c r="Y31" i="1" s="1"/>
  <c r="CP29" i="1"/>
  <c r="O29" i="1" s="1"/>
  <c r="CS34" i="1"/>
  <c r="R34" i="1" s="1"/>
  <c r="AD34" i="1"/>
  <c r="CR34" i="1" s="1"/>
  <c r="Q34" i="1" s="1"/>
  <c r="HJ32" i="1"/>
  <c r="CZ29" i="1"/>
  <c r="Y29" i="1" s="1"/>
  <c r="CY29" i="1"/>
  <c r="X29" i="1" s="1"/>
  <c r="HJ29" i="1"/>
  <c r="CT35" i="1"/>
  <c r="S35" i="1" s="1"/>
  <c r="AB34" i="1"/>
  <c r="CQ34" i="1"/>
  <c r="P34" i="1" s="1"/>
  <c r="CP34" i="1" s="1"/>
  <c r="O34" i="1" s="1"/>
  <c r="CY34" i="1"/>
  <c r="X34" i="1" s="1"/>
  <c r="HJ34" i="1"/>
  <c r="CP30" i="1"/>
  <c r="O30" i="1" s="1"/>
  <c r="HJ30" i="1"/>
  <c r="CY28" i="1"/>
  <c r="X28" i="1" s="1"/>
  <c r="HJ28" i="1"/>
  <c r="CZ28" i="1"/>
  <c r="Y28" i="1" s="1"/>
  <c r="CX4" i="3"/>
  <c r="CX8" i="3"/>
  <c r="CX1" i="3"/>
  <c r="CX5" i="3"/>
  <c r="CX6" i="3"/>
  <c r="CX40" i="3"/>
  <c r="CX35" i="3"/>
  <c r="CX32" i="3"/>
  <c r="CX27" i="3"/>
  <c r="CX24" i="3"/>
  <c r="CX19" i="3"/>
  <c r="CX16" i="3"/>
  <c r="CX11" i="3"/>
  <c r="CX3" i="3"/>
  <c r="CS33" i="1"/>
  <c r="R33" i="1" s="1"/>
  <c r="HI33" i="1" s="1"/>
  <c r="AB33" i="1"/>
  <c r="CS32" i="1"/>
  <c r="R32" i="1" s="1"/>
  <c r="HI32" i="1" s="1"/>
  <c r="AB32" i="1"/>
  <c r="CQ31" i="1"/>
  <c r="P31" i="1" s="1"/>
  <c r="CP31" i="1" s="1"/>
  <c r="O31" i="1" s="1"/>
  <c r="AD31" i="1"/>
  <c r="CR31" i="1" s="1"/>
  <c r="Q31" i="1" s="1"/>
  <c r="CS30" i="1"/>
  <c r="R30" i="1" s="1"/>
  <c r="AB30" i="1"/>
  <c r="CQ28" i="1"/>
  <c r="P28" i="1" s="1"/>
  <c r="AD28" i="1"/>
  <c r="CR28" i="1" s="1"/>
  <c r="Q28" i="1" s="1"/>
  <c r="CX38" i="3"/>
  <c r="CX30" i="3"/>
  <c r="CX22" i="3"/>
  <c r="CX14" i="3"/>
  <c r="CX12" i="3"/>
  <c r="CX9" i="3"/>
  <c r="CX13" i="3"/>
  <c r="CX10" i="3"/>
  <c r="AB29" i="1"/>
  <c r="CX39" i="3"/>
  <c r="CX36" i="3"/>
  <c r="CX31" i="3"/>
  <c r="CX28" i="3"/>
  <c r="CX23" i="3"/>
  <c r="CX20" i="3"/>
  <c r="CX15" i="3"/>
  <c r="CX7" i="3"/>
  <c r="K34" i="1"/>
  <c r="CX34" i="3"/>
  <c r="CX26" i="3"/>
  <c r="CX18" i="3"/>
  <c r="CX2" i="3"/>
  <c r="J137" i="6" l="1"/>
  <c r="J159" i="6" s="1"/>
  <c r="L185" i="6"/>
  <c r="L183" i="6" s="1"/>
  <c r="J183" i="6"/>
  <c r="J174" i="6" s="1"/>
  <c r="J172" i="6" s="1"/>
  <c r="L242" i="6"/>
  <c r="L240" i="6" s="1"/>
  <c r="J251" i="6"/>
  <c r="J242" i="6" s="1"/>
  <c r="J240" i="6" s="1"/>
  <c r="L253" i="6"/>
  <c r="L251" i="6" s="1"/>
  <c r="L174" i="6"/>
  <c r="L172" i="6" s="1"/>
  <c r="AJ26" i="1"/>
  <c r="W51" i="1"/>
  <c r="DI26" i="3"/>
  <c r="DF26" i="3"/>
  <c r="DG26" i="3"/>
  <c r="DJ26" i="3" s="1"/>
  <c r="DH26" i="3"/>
  <c r="DI14" i="3"/>
  <c r="DF14" i="3"/>
  <c r="DJ14" i="3" s="1"/>
  <c r="DG14" i="3"/>
  <c r="DH14" i="3"/>
  <c r="DG36" i="3"/>
  <c r="DJ36" i="3" s="1"/>
  <c r="DH36" i="3"/>
  <c r="DI36" i="3"/>
  <c r="DF36" i="3"/>
  <c r="DI2" i="3"/>
  <c r="DJ2" i="3" s="1"/>
  <c r="DF2" i="3"/>
  <c r="DG2" i="3"/>
  <c r="DH2" i="3"/>
  <c r="DH23" i="3"/>
  <c r="DI23" i="3"/>
  <c r="DF23" i="3"/>
  <c r="DJ23" i="3" s="1"/>
  <c r="DG23" i="3"/>
  <c r="DH39" i="3"/>
  <c r="DI39" i="3"/>
  <c r="DF39" i="3"/>
  <c r="DJ39" i="3" s="1"/>
  <c r="DG39" i="3"/>
  <c r="DF9" i="3"/>
  <c r="DG9" i="3"/>
  <c r="DH9" i="3"/>
  <c r="DI9" i="3"/>
  <c r="DJ9" i="3" s="1"/>
  <c r="DI30" i="3"/>
  <c r="DF30" i="3"/>
  <c r="DJ30" i="3" s="1"/>
  <c r="DG30" i="3"/>
  <c r="DH30" i="3"/>
  <c r="DH3" i="3"/>
  <c r="DI3" i="3"/>
  <c r="DF3" i="3"/>
  <c r="DG3" i="3"/>
  <c r="DJ3" i="3" s="1"/>
  <c r="DG24" i="3"/>
  <c r="DH24" i="3"/>
  <c r="DI24" i="3"/>
  <c r="DJ24" i="3" s="1"/>
  <c r="DF24" i="3"/>
  <c r="DG40" i="3"/>
  <c r="DH40" i="3"/>
  <c r="DI40" i="3"/>
  <c r="DF40" i="3"/>
  <c r="DJ40" i="3" s="1"/>
  <c r="DG8" i="3"/>
  <c r="DH8" i="3"/>
  <c r="DI8" i="3"/>
  <c r="DF8" i="3"/>
  <c r="DJ8" i="3" s="1"/>
  <c r="AB31" i="1"/>
  <c r="HL31" i="1"/>
  <c r="HK31" i="1"/>
  <c r="HK33" i="1"/>
  <c r="HL33" i="1"/>
  <c r="S43" i="1"/>
  <c r="GM45" i="1"/>
  <c r="GN45" i="1"/>
  <c r="DF33" i="3"/>
  <c r="DJ33" i="3" s="1"/>
  <c r="DG33" i="3"/>
  <c r="DH33" i="3"/>
  <c r="DI33" i="3"/>
  <c r="R44" i="1"/>
  <c r="HI44" i="1" s="1"/>
  <c r="AQ26" i="1"/>
  <c r="F61" i="1"/>
  <c r="AQ91" i="1"/>
  <c r="AB43" i="1"/>
  <c r="CR43" i="1"/>
  <c r="Q43" i="1" s="1"/>
  <c r="BD26" i="1"/>
  <c r="F76" i="1"/>
  <c r="F86" i="1" s="1"/>
  <c r="BD91" i="1"/>
  <c r="HL36" i="1"/>
  <c r="HK36" i="1"/>
  <c r="V43" i="1"/>
  <c r="AO26" i="1"/>
  <c r="F55" i="1"/>
  <c r="AO91" i="1"/>
  <c r="S44" i="1"/>
  <c r="HK38" i="1"/>
  <c r="HL38" i="1"/>
  <c r="HL45" i="1"/>
  <c r="HK45" i="1"/>
  <c r="CY46" i="1"/>
  <c r="X46" i="1" s="1"/>
  <c r="HK48" i="1"/>
  <c r="HL48" i="1"/>
  <c r="GN37" i="1"/>
  <c r="CY47" i="1"/>
  <c r="X47" i="1" s="1"/>
  <c r="P43" i="1"/>
  <c r="CP43" i="1" s="1"/>
  <c r="O43" i="1" s="1"/>
  <c r="GM39" i="1"/>
  <c r="DH31" i="3"/>
  <c r="DI31" i="3"/>
  <c r="DF31" i="3"/>
  <c r="DJ31" i="3" s="1"/>
  <c r="DG31" i="3"/>
  <c r="DI34" i="3"/>
  <c r="DJ34" i="3" s="1"/>
  <c r="DF34" i="3"/>
  <c r="DG34" i="3"/>
  <c r="DH34" i="3"/>
  <c r="DF13" i="3"/>
  <c r="DJ13" i="3" s="1"/>
  <c r="DG13" i="3"/>
  <c r="DH13" i="3"/>
  <c r="DI13" i="3"/>
  <c r="DI18" i="3"/>
  <c r="DF18" i="3"/>
  <c r="DG18" i="3"/>
  <c r="DJ18" i="3" s="1"/>
  <c r="DH18" i="3"/>
  <c r="DH7" i="3"/>
  <c r="DI7" i="3"/>
  <c r="DF7" i="3"/>
  <c r="DJ7" i="3" s="1"/>
  <c r="DG7" i="3"/>
  <c r="DG28" i="3"/>
  <c r="DJ28" i="3" s="1"/>
  <c r="DH28" i="3"/>
  <c r="DI28" i="3"/>
  <c r="DF28" i="3"/>
  <c r="DG12" i="3"/>
  <c r="DJ12" i="3" s="1"/>
  <c r="DH12" i="3"/>
  <c r="DI12" i="3"/>
  <c r="DF12" i="3"/>
  <c r="DI38" i="3"/>
  <c r="DF38" i="3"/>
  <c r="DJ38" i="3" s="1"/>
  <c r="DG38" i="3"/>
  <c r="DH38" i="3"/>
  <c r="HI30" i="1"/>
  <c r="DH11" i="3"/>
  <c r="DI11" i="3"/>
  <c r="DF11" i="3"/>
  <c r="DG11" i="3"/>
  <c r="DJ11" i="3" s="1"/>
  <c r="DH27" i="3"/>
  <c r="DI27" i="3"/>
  <c r="DF27" i="3"/>
  <c r="DG27" i="3"/>
  <c r="DJ27" i="3" s="1"/>
  <c r="DI6" i="3"/>
  <c r="DF6" i="3"/>
  <c r="DJ6" i="3" s="1"/>
  <c r="DG6" i="3"/>
  <c r="DH6" i="3"/>
  <c r="DG4" i="3"/>
  <c r="DJ4" i="3" s="1"/>
  <c r="DH4" i="3"/>
  <c r="DI4" i="3"/>
  <c r="DF4" i="3"/>
  <c r="CZ30" i="1"/>
  <c r="Y30" i="1" s="1"/>
  <c r="CY35" i="1"/>
  <c r="X35" i="1" s="1"/>
  <c r="HJ35" i="1"/>
  <c r="CZ35" i="1"/>
  <c r="Y35" i="1" s="1"/>
  <c r="AF51" i="1"/>
  <c r="CZ32" i="1"/>
  <c r="Y32" i="1" s="1"/>
  <c r="CZ34" i="1"/>
  <c r="Y34" i="1" s="1"/>
  <c r="HI34" i="1"/>
  <c r="HK34" i="1" s="1"/>
  <c r="CY33" i="1"/>
  <c r="X33" i="1" s="1"/>
  <c r="AP26" i="1"/>
  <c r="F60" i="1"/>
  <c r="F83" i="1" s="1"/>
  <c r="AP91" i="1"/>
  <c r="HK37" i="1"/>
  <c r="HL37" i="1"/>
  <c r="GM41" i="1"/>
  <c r="GN41" i="1"/>
  <c r="DF29" i="3"/>
  <c r="DJ29" i="3" s="1"/>
  <c r="DG29" i="3"/>
  <c r="DH29" i="3"/>
  <c r="DI29" i="3"/>
  <c r="V44" i="1"/>
  <c r="AU26" i="1"/>
  <c r="F70" i="1"/>
  <c r="AU91" i="1"/>
  <c r="GX44" i="1"/>
  <c r="CI26" i="1"/>
  <c r="AZ51" i="1"/>
  <c r="CY42" i="1"/>
  <c r="X42" i="1" s="1"/>
  <c r="HJ42" i="1"/>
  <c r="CZ42" i="1"/>
  <c r="Y42" i="1" s="1"/>
  <c r="GN42" i="1" s="1"/>
  <c r="GX43" i="1"/>
  <c r="T44" i="1"/>
  <c r="AG51" i="1" s="1"/>
  <c r="AX26" i="1"/>
  <c r="F58" i="1"/>
  <c r="AX91" i="1"/>
  <c r="GM46" i="1"/>
  <c r="DI10" i="3"/>
  <c r="DJ10" i="3" s="1"/>
  <c r="DF10" i="3"/>
  <c r="DG10" i="3"/>
  <c r="DH10" i="3"/>
  <c r="AD51" i="1"/>
  <c r="DG16" i="3"/>
  <c r="DH16" i="3"/>
  <c r="DI16" i="3"/>
  <c r="DJ16" i="3" s="1"/>
  <c r="DF16" i="3"/>
  <c r="DG32" i="3"/>
  <c r="DH32" i="3"/>
  <c r="DI32" i="3"/>
  <c r="DF32" i="3"/>
  <c r="DJ32" i="3" s="1"/>
  <c r="DF5" i="3"/>
  <c r="DG5" i="3"/>
  <c r="DJ5" i="3" s="1"/>
  <c r="DH5" i="3"/>
  <c r="DI5" i="3"/>
  <c r="HK30" i="1"/>
  <c r="HL30" i="1"/>
  <c r="HK29" i="1"/>
  <c r="HL29" i="1"/>
  <c r="HK32" i="1"/>
  <c r="HL32" i="1"/>
  <c r="GN29" i="1"/>
  <c r="GM29" i="1"/>
  <c r="DF21" i="3"/>
  <c r="DJ21" i="3" s="1"/>
  <c r="DG21" i="3"/>
  <c r="DH21" i="3"/>
  <c r="DI21" i="3"/>
  <c r="AT26" i="1"/>
  <c r="F69" i="1"/>
  <c r="AT91" i="1"/>
  <c r="DF25" i="3"/>
  <c r="DG25" i="3"/>
  <c r="DH25" i="3"/>
  <c r="DI25" i="3"/>
  <c r="DJ25" i="3" s="1"/>
  <c r="DF41" i="3"/>
  <c r="DJ41" i="3" s="1"/>
  <c r="DG41" i="3"/>
  <c r="DH41" i="3"/>
  <c r="DI41" i="3"/>
  <c r="CP35" i="1"/>
  <c r="O35" i="1" s="1"/>
  <c r="GM38" i="1"/>
  <c r="GN38" i="1"/>
  <c r="U43" i="1"/>
  <c r="AH51" i="1" s="1"/>
  <c r="CZ46" i="1"/>
  <c r="Y46" i="1" s="1"/>
  <c r="GN46" i="1" s="1"/>
  <c r="CZ47" i="1"/>
  <c r="Y47" i="1" s="1"/>
  <c r="GM49" i="1"/>
  <c r="GN49" i="1"/>
  <c r="HK49" i="1"/>
  <c r="HL49" i="1"/>
  <c r="P44" i="1"/>
  <c r="CP44" i="1" s="1"/>
  <c r="O44" i="1" s="1"/>
  <c r="BB26" i="1"/>
  <c r="F64" i="1"/>
  <c r="BB91" i="1"/>
  <c r="DH15" i="3"/>
  <c r="DI15" i="3"/>
  <c r="DF15" i="3"/>
  <c r="DJ15" i="3" s="1"/>
  <c r="DG15" i="3"/>
  <c r="DG20" i="3"/>
  <c r="DH20" i="3"/>
  <c r="DI20" i="3"/>
  <c r="DF20" i="3"/>
  <c r="DJ20" i="3" s="1"/>
  <c r="DI22" i="3"/>
  <c r="DF22" i="3"/>
  <c r="DJ22" i="3" s="1"/>
  <c r="DG22" i="3"/>
  <c r="DH22" i="3"/>
  <c r="CP28" i="1"/>
  <c r="O28" i="1" s="1"/>
  <c r="AC51" i="1"/>
  <c r="GM31" i="1"/>
  <c r="GN31" i="1"/>
  <c r="DH19" i="3"/>
  <c r="DI19" i="3"/>
  <c r="DF19" i="3"/>
  <c r="DG19" i="3"/>
  <c r="DJ19" i="3" s="1"/>
  <c r="DH35" i="3"/>
  <c r="DI35" i="3"/>
  <c r="DJ35" i="3" s="1"/>
  <c r="DF35" i="3"/>
  <c r="DG35" i="3"/>
  <c r="DF1" i="3"/>
  <c r="DG1" i="3"/>
  <c r="DH1" i="3"/>
  <c r="DI1" i="3"/>
  <c r="DJ1" i="3" s="1"/>
  <c r="HL28" i="1"/>
  <c r="HK28" i="1"/>
  <c r="CY30" i="1"/>
  <c r="X30" i="1" s="1"/>
  <c r="GM30" i="1" s="1"/>
  <c r="AB28" i="1"/>
  <c r="GM34" i="1"/>
  <c r="GN34" i="1"/>
  <c r="CY32" i="1"/>
  <c r="X32" i="1" s="1"/>
  <c r="GN32" i="1" s="1"/>
  <c r="CZ33" i="1"/>
  <c r="Y33" i="1" s="1"/>
  <c r="DF17" i="3"/>
  <c r="DG17" i="3"/>
  <c r="DH17" i="3"/>
  <c r="DI17" i="3"/>
  <c r="DJ17" i="3" s="1"/>
  <c r="GM36" i="1"/>
  <c r="GN36" i="1"/>
  <c r="HK40" i="1"/>
  <c r="HL40" i="1"/>
  <c r="GM42" i="1"/>
  <c r="DF37" i="3"/>
  <c r="DG37" i="3"/>
  <c r="DJ37" i="3" s="1"/>
  <c r="DH37" i="3"/>
  <c r="DI37" i="3"/>
  <c r="GM40" i="1"/>
  <c r="GN40" i="1"/>
  <c r="AB36" i="1"/>
  <c r="HK41" i="1"/>
  <c r="HL41" i="1"/>
  <c r="R43" i="1"/>
  <c r="HI43" i="1" s="1"/>
  <c r="HK46" i="1"/>
  <c r="HL46" i="1"/>
  <c r="HK39" i="1"/>
  <c r="HL39" i="1"/>
  <c r="HK47" i="1"/>
  <c r="HL47" i="1"/>
  <c r="BC26" i="1"/>
  <c r="BC91" i="1"/>
  <c r="F67" i="1"/>
  <c r="GM48" i="1"/>
  <c r="GN48" i="1"/>
  <c r="AG26" i="1" l="1"/>
  <c r="T51" i="1"/>
  <c r="AO22" i="1"/>
  <c r="AO123" i="1"/>
  <c r="F95" i="1"/>
  <c r="AC26" i="1"/>
  <c r="P51" i="1"/>
  <c r="CE51" i="1"/>
  <c r="CF51" i="1"/>
  <c r="CH51" i="1"/>
  <c r="AH26" i="1"/>
  <c r="U51" i="1"/>
  <c r="AT22" i="1"/>
  <c r="AT123" i="1"/>
  <c r="F109" i="1"/>
  <c r="GM32" i="1"/>
  <c r="AU22" i="1"/>
  <c r="AU123" i="1"/>
  <c r="F110" i="1"/>
  <c r="AP22" i="1"/>
  <c r="AP123" i="1"/>
  <c r="F100" i="1"/>
  <c r="HL34" i="1"/>
  <c r="BC22" i="1"/>
  <c r="BC123" i="1"/>
  <c r="F107" i="1"/>
  <c r="GM28" i="1"/>
  <c r="GN28" i="1"/>
  <c r="AB51" i="1"/>
  <c r="AX22" i="1"/>
  <c r="AX123" i="1"/>
  <c r="F98" i="1"/>
  <c r="CJ51" i="1"/>
  <c r="AZ26" i="1"/>
  <c r="F62" i="1"/>
  <c r="AZ91" i="1"/>
  <c r="HK35" i="1"/>
  <c r="HL35" i="1"/>
  <c r="GM43" i="1"/>
  <c r="CY43" i="1"/>
  <c r="X43" i="1" s="1"/>
  <c r="GN43" i="1" s="1"/>
  <c r="CZ43" i="1"/>
  <c r="Y43" i="1" s="1"/>
  <c r="AL51" i="1" s="1"/>
  <c r="HJ43" i="1"/>
  <c r="AE51" i="1"/>
  <c r="GM47" i="1"/>
  <c r="GN47" i="1"/>
  <c r="BD22" i="1"/>
  <c r="F116" i="1"/>
  <c r="BD123" i="1"/>
  <c r="GN30" i="1"/>
  <c r="W26" i="1"/>
  <c r="F75" i="1"/>
  <c r="W91" i="1"/>
  <c r="BB22" i="1"/>
  <c r="F104" i="1"/>
  <c r="BB123" i="1"/>
  <c r="AD26" i="1"/>
  <c r="Q51" i="1"/>
  <c r="GM35" i="1"/>
  <c r="GN35" i="1"/>
  <c r="HK42" i="1"/>
  <c r="HL42" i="1"/>
  <c r="GM33" i="1"/>
  <c r="GN33" i="1"/>
  <c r="AF26" i="1"/>
  <c r="S51" i="1"/>
  <c r="CZ44" i="1"/>
  <c r="Y44" i="1" s="1"/>
  <c r="CY44" i="1"/>
  <c r="X44" i="1" s="1"/>
  <c r="GN44" i="1" s="1"/>
  <c r="HJ44" i="1"/>
  <c r="AI51" i="1"/>
  <c r="AQ22" i="1"/>
  <c r="AQ123" i="1"/>
  <c r="F101" i="1"/>
  <c r="AL26" i="1" l="1"/>
  <c r="Y51" i="1"/>
  <c r="S26" i="1"/>
  <c r="S91" i="1"/>
  <c r="F66" i="1"/>
  <c r="F80" i="1" s="1"/>
  <c r="AB26" i="1"/>
  <c r="O51" i="1"/>
  <c r="BD18" i="1"/>
  <c r="F148" i="1"/>
  <c r="U26" i="1"/>
  <c r="F73" i="1"/>
  <c r="U91" i="1"/>
  <c r="CE26" i="1"/>
  <c r="AV51" i="1"/>
  <c r="AO18" i="1"/>
  <c r="F127" i="1"/>
  <c r="AQ18" i="1"/>
  <c r="F133" i="1"/>
  <c r="BB18" i="1"/>
  <c r="F136" i="1"/>
  <c r="CJ26" i="1"/>
  <c r="BA51" i="1"/>
  <c r="GM44" i="1"/>
  <c r="CA51" i="1"/>
  <c r="P26" i="1"/>
  <c r="P91" i="1"/>
  <c r="F54" i="1"/>
  <c r="BC18" i="1"/>
  <c r="F139" i="1"/>
  <c r="HK44" i="1"/>
  <c r="HL44" i="1"/>
  <c r="W22" i="1"/>
  <c r="F115" i="1"/>
  <c r="W123" i="1"/>
  <c r="CB51" i="1"/>
  <c r="AE26" i="1"/>
  <c r="R51" i="1"/>
  <c r="AK51" i="1"/>
  <c r="AZ22" i="1"/>
  <c r="F102" i="1"/>
  <c r="AZ123" i="1"/>
  <c r="AU18" i="1"/>
  <c r="F142" i="1"/>
  <c r="AT18" i="1"/>
  <c r="F141" i="1"/>
  <c r="CH26" i="1"/>
  <c r="AY51" i="1"/>
  <c r="T26" i="1"/>
  <c r="F72" i="1"/>
  <c r="T91" i="1"/>
  <c r="AI26" i="1"/>
  <c r="V51" i="1"/>
  <c r="Q26" i="1"/>
  <c r="F63" i="1"/>
  <c r="F81" i="1" s="1"/>
  <c r="Q91" i="1"/>
  <c r="AX18" i="1"/>
  <c r="F130" i="1"/>
  <c r="AP18" i="1"/>
  <c r="F132" i="1"/>
  <c r="CF26" i="1"/>
  <c r="AW51" i="1"/>
  <c r="HL43" i="1"/>
  <c r="HK43" i="1"/>
  <c r="T22" i="1" l="1"/>
  <c r="F112" i="1"/>
  <c r="T123" i="1"/>
  <c r="W18" i="1"/>
  <c r="F147" i="1"/>
  <c r="P22" i="1"/>
  <c r="F94" i="1"/>
  <c r="P123" i="1"/>
  <c r="AV26" i="1"/>
  <c r="F56" i="1"/>
  <c r="AV91" i="1"/>
  <c r="Y26" i="1"/>
  <c r="Y91" i="1"/>
  <c r="F78" i="1"/>
  <c r="F85" i="1" s="1"/>
  <c r="R26" i="1"/>
  <c r="F65" i="1"/>
  <c r="R91" i="1"/>
  <c r="V26" i="1"/>
  <c r="F74" i="1"/>
  <c r="V91" i="1"/>
  <c r="CA26" i="1"/>
  <c r="AR51" i="1"/>
  <c r="U22" i="1"/>
  <c r="F113" i="1"/>
  <c r="U123" i="1"/>
  <c r="S22" i="1"/>
  <c r="S123" i="1"/>
  <c r="F106" i="1"/>
  <c r="AK26" i="1"/>
  <c r="X51" i="1"/>
  <c r="BA26" i="1"/>
  <c r="F71" i="1"/>
  <c r="BA91" i="1"/>
  <c r="AW26" i="1"/>
  <c r="F57" i="1"/>
  <c r="F82" i="1" s="1"/>
  <c r="AW91" i="1"/>
  <c r="AZ18" i="1"/>
  <c r="F134" i="1"/>
  <c r="Q22" i="1"/>
  <c r="F103" i="1"/>
  <c r="Q123" i="1"/>
  <c r="AY26" i="1"/>
  <c r="AY91" i="1"/>
  <c r="F59" i="1"/>
  <c r="CB26" i="1"/>
  <c r="AS51" i="1"/>
  <c r="O26" i="1"/>
  <c r="F53" i="1"/>
  <c r="O91" i="1"/>
  <c r="X26" i="1" l="1"/>
  <c r="X91" i="1"/>
  <c r="F77" i="1"/>
  <c r="F84" i="1" s="1"/>
  <c r="AR26" i="1"/>
  <c r="F79" i="1"/>
  <c r="F87" i="1" s="1"/>
  <c r="AR91" i="1"/>
  <c r="Q18" i="1"/>
  <c r="F135" i="1"/>
  <c r="U18" i="1"/>
  <c r="F145" i="1"/>
  <c r="Y22" i="1"/>
  <c r="F118" i="1"/>
  <c r="Y123" i="1"/>
  <c r="AW22" i="1"/>
  <c r="AW123" i="1"/>
  <c r="F97" i="1"/>
  <c r="V22" i="1"/>
  <c r="F114" i="1"/>
  <c r="V123" i="1"/>
  <c r="P18" i="1"/>
  <c r="F126" i="1"/>
  <c r="AS26" i="1"/>
  <c r="F68" i="1"/>
  <c r="AS91" i="1"/>
  <c r="O22" i="1"/>
  <c r="O123" i="1"/>
  <c r="F93" i="1"/>
  <c r="BA22" i="1"/>
  <c r="F111" i="1"/>
  <c r="BA123" i="1"/>
  <c r="R22" i="1"/>
  <c r="R123" i="1"/>
  <c r="F105" i="1"/>
  <c r="AY22" i="1"/>
  <c r="AY123" i="1"/>
  <c r="F99" i="1"/>
  <c r="S18" i="1"/>
  <c r="F138" i="1"/>
  <c r="AV22" i="1"/>
  <c r="F96" i="1"/>
  <c r="AV123" i="1"/>
  <c r="T18" i="1"/>
  <c r="F144" i="1"/>
  <c r="BA18" i="1" l="1"/>
  <c r="F143" i="1"/>
  <c r="AR22" i="1"/>
  <c r="F119" i="1"/>
  <c r="AR123" i="1"/>
  <c r="AV18" i="1"/>
  <c r="F128" i="1"/>
  <c r="F88" i="1"/>
  <c r="F89" i="1"/>
  <c r="R18" i="1"/>
  <c r="F137" i="1"/>
  <c r="AS22" i="1"/>
  <c r="F108" i="1"/>
  <c r="AS123" i="1"/>
  <c r="O18" i="1"/>
  <c r="F125" i="1"/>
  <c r="X22" i="1"/>
  <c r="X123" i="1"/>
  <c r="F117" i="1"/>
  <c r="Y18" i="1"/>
  <c r="F150" i="1"/>
  <c r="AY18" i="1"/>
  <c r="F131" i="1"/>
  <c r="V18" i="1"/>
  <c r="F146" i="1"/>
  <c r="AW18" i="1"/>
  <c r="F129" i="1"/>
  <c r="X18" i="1" l="1"/>
  <c r="F149" i="1"/>
  <c r="AR18" i="1"/>
  <c r="F151" i="1"/>
  <c r="F120" i="1"/>
  <c r="F121" i="1"/>
  <c r="AS18" i="1"/>
  <c r="F140" i="1"/>
  <c r="F152" i="1" l="1"/>
  <c r="F153" i="1" s="1"/>
</calcChain>
</file>

<file path=xl/sharedStrings.xml><?xml version="1.0" encoding="utf-8"?>
<sst xmlns="http://schemas.openxmlformats.org/spreadsheetml/2006/main" count="2696" uniqueCount="424">
  <si>
    <t>Smeta.RU  (495) 974-1589</t>
  </si>
  <si>
    <t>_PS_</t>
  </si>
  <si>
    <t>Smeta.RU</t>
  </si>
  <si>
    <t/>
  </si>
  <si>
    <t>Новый объект_(Копия)_(Копия)_(Копия)_(Копия)_(Копия)_(Копия)_(Копия)</t>
  </si>
  <si>
    <t>Благоустройство детского парка в д. Ильдубайкино</t>
  </si>
  <si>
    <t>Сметные нормы списания</t>
  </si>
  <si>
    <t>Коды ценников</t>
  </si>
  <si>
    <t>ФЕР-2020 И2</t>
  </si>
  <si>
    <t>Версия 1.4.0 ГСН (ГЭСН, ФЕР) и ТЕР (Методики НР (812/пр и 636/пр) и СП (774/пр и 317/пр) применять с 19.07.2022 г.)</t>
  </si>
  <si>
    <t>ФЕР-2020 - изменения И2</t>
  </si>
  <si>
    <t>Поправки  для ГСН (ФЕР) 2020 от 01.06.2020 г И2</t>
  </si>
  <si>
    <t>Новая локальная смета</t>
  </si>
  <si>
    <t>Новый раздел</t>
  </si>
  <si>
    <t>Беседка</t>
  </si>
  <si>
    <t>1</t>
  </si>
  <si>
    <t>09-08-001-01</t>
  </si>
  <si>
    <t>Установка металлических столбов высотой до 4 м: с погружением в бетонное основание</t>
  </si>
  <si>
    <t>100 ШТ</t>
  </si>
  <si>
    <t>ФЕР-2001, 09-08-001-01, приказ Минстроя России № 876/пр от 26.12.2019</t>
  </si>
  <si>
    <t>Общестроительные работы</t>
  </si>
  <si>
    <t>Строительные металлические конструкции</t>
  </si>
  <si>
    <t>ФЕР-09</t>
  </si>
  <si>
    <t>Пр/812-009.0-1</t>
  </si>
  <si>
    <t>Пр/774-009.0</t>
  </si>
  <si>
    <t>1,1</t>
  </si>
  <si>
    <t>04.1.02.05</t>
  </si>
  <si>
    <t>Смеси бетонные тяжелого бетона</t>
  </si>
  <si>
    <t>м3</t>
  </si>
  <si>
    <t>1,2</t>
  </si>
  <si>
    <t>07.2.07.11</t>
  </si>
  <si>
    <t>Стойки металлические опорные</t>
  </si>
  <si>
    <t>ШТ</t>
  </si>
  <si>
    <t>2</t>
  </si>
  <si>
    <t>23.3.08.01-0043</t>
  </si>
  <si>
    <t>Трубы стальные квадратные (ГОСТ 8639-82) размером: 50х50 мм, толщина стенки 3,5 мм</t>
  </si>
  <si>
    <t>м</t>
  </si>
  <si>
    <t>ФССЦ-2001, 23.3.08.01-0043, приказ Минстроя России № 876/пр от 26.12.2019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</si>
  <si>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</si>
  <si>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</si>
  <si>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</si>
  <si>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3</t>
  </si>
  <si>
    <t>04.1.02.05-0004</t>
  </si>
  <si>
    <t>Смеси бетонные тяжелого бетона (БСТ), класс В10 (М150)</t>
  </si>
  <si>
    <t>ФССЦ-2001, 04.1.02.05-0004, приказ Минстроя России № 876/пр от 26.12.2019</t>
  </si>
  <si>
    <t>4</t>
  </si>
  <si>
    <t>10-01-070-05</t>
  </si>
  <si>
    <t>Применительно. Устройство заборов (при установленных столбах): глухих (ограждение беседки)</t>
  </si>
  <si>
    <t>100 м2</t>
  </si>
  <si>
    <t>ФЕР-2001, 10-01-070-05, приказ Минстроя России № 876/пр от 26.12.2019</t>
  </si>
  <si>
    <t>Деревянные конструкции</t>
  </si>
  <si>
    <t>ФЕР-10</t>
  </si>
  <si>
    <t>Пр/812-010.0-1</t>
  </si>
  <si>
    <t>Пр/774-010.0</t>
  </si>
  <si>
    <t>5</t>
  </si>
  <si>
    <t>11.1.03.01-0078</t>
  </si>
  <si>
    <t>Бруски обрезные, хвойных пород, длина 4-6,5 м, ширина 75-150 мм, толщина 40-75 мм, сорт II</t>
  </si>
  <si>
    <t>ФССЦ-2001, 11.1.03.01-0078, приказ Минстроя России № 876/пр от 26.12.2019</t>
  </si>
  <si>
    <t>6</t>
  </si>
  <si>
    <t>11.1.03.06-0091</t>
  </si>
  <si>
    <t>Доска обрезная, хвойных пород, ширина 75-150 мм, толщина 32-40 мм, длина 4-6,5 м, сорт III</t>
  </si>
  <si>
    <t>ФССЦ-2001, 11.1.03.06-0091, приказ Минстроя России № 876/пр от 26.12.2019</t>
  </si>
  <si>
    <t>7</t>
  </si>
  <si>
    <t>11.1.03.06-0099</t>
  </si>
  <si>
    <t>Доска обрезная, хвойных пород, ширина 75-150, мм толщина 19-22 мм, длина 4-6,5 м, сорт III</t>
  </si>
  <si>
    <t>ФССЦ-2001, 11.1.03.06-0099, приказ Минстроя России № 876/пр от 26.12.2019</t>
  </si>
  <si>
    <t>8</t>
  </si>
  <si>
    <t>08.3.09.01-0021</t>
  </si>
  <si>
    <t>Профилированный лист оцинкованный: НС35-1000-0,7</t>
  </si>
  <si>
    <t>т</t>
  </si>
  <si>
    <t>ФССЦ-2001, 08.3.09.01-0021, приказ Минстроя России № 876/пр от 26.12.2019</t>
  </si>
  <si>
    <t>9</t>
  </si>
  <si>
    <t>11.3.03.19-0216</t>
  </si>
  <si>
    <t>Панель из поликарбоната, сотовая, бесцветная, толщина 10,0 мм</t>
  </si>
  <si>
    <t>м2</t>
  </si>
  <si>
    <t>ФССЦ-2001 доп.2, 11.3.03.19-0216, приказ Минстроя России № 294/пр от 01.06.2020</t>
  </si>
  <si>
    <t>10</t>
  </si>
  <si>
    <t>09-01-010-01</t>
  </si>
  <si>
    <t>Устройство металлических каркасов зданий из оцинкованных профилей</t>
  </si>
  <si>
    <t>т металлоконструкций</t>
  </si>
  <si>
    <t>ФЕР-2001, 09-01-010-01, приказ Минстроя России № 876/пр от 26.12.2019</t>
  </si>
  <si>
    <t>10,1</t>
  </si>
  <si>
    <t>07.2.07.13</t>
  </si>
  <si>
    <t>Конструкции стальные из оцинкованных профилей</t>
  </si>
  <si>
    <t>11</t>
  </si>
  <si>
    <t>23.3.08.02-0066</t>
  </si>
  <si>
    <t>Трубы стальные прямоугольные (ГОСТ 8645-86) размером: 40х20 мм, толщина стенки 3,0 мм</t>
  </si>
  <si>
    <t>ФССЦ-2001, 23.3.08.02-0066, приказ Минстроя России № 876/пр от 26.12.2019</t>
  </si>
  <si>
    <t>12</t>
  </si>
  <si>
    <t>12-01-033-01</t>
  </si>
  <si>
    <t>Монтаж кровли из профилированного листа для объектов непроизводственного назначения: простой</t>
  </si>
  <si>
    <t>ФЕР-2001, 12-01-033-01, приказ Минстроя России № 876/пр от 26.12.2019</t>
  </si>
  <si>
    <t>Кровли</t>
  </si>
  <si>
    <t>ФЕР-12</t>
  </si>
  <si>
    <t>Пр/812-012.0-1</t>
  </si>
  <si>
    <t>Пр/774-012.0</t>
  </si>
  <si>
    <t>12,1</t>
  </si>
  <si>
    <t>01.7.03.04-0001-3</t>
  </si>
  <si>
    <t>Затраты на электроэнергию, потребляемую ручным инструментом ( 1 % от ОЗП)</t>
  </si>
  <si>
    <t>РУБ</t>
  </si>
  <si>
    <t>ФССЦ-2001, 01.7.03.04-0001-3, приказ Минстроя России № 294/пр от 01.06.2020 (см. тех.часть)</t>
  </si>
  <si>
    <t>12,2</t>
  </si>
  <si>
    <t>08.1.02.07</t>
  </si>
  <si>
    <t>Дополнительные элементы кровли из профлиста: коньки, разжелобки и проч.</t>
  </si>
  <si>
    <t>12,3</t>
  </si>
  <si>
    <t>08.3.09.01</t>
  </si>
  <si>
    <t>Стальной гнутый профиль (профилированный настил)</t>
  </si>
  <si>
    <t>13</t>
  </si>
  <si>
    <t>14</t>
  </si>
  <si>
    <t>10-01-059-01</t>
  </si>
  <si>
    <t>Установка столов, шкафов под мойки, холодильных шкафов и др.</t>
  </si>
  <si>
    <t>ФЕР-2001, 10-01-059-01, приказ Минстроя России № 876/пр от 26.12.2019</t>
  </si>
  <si>
    <t>14,1</t>
  </si>
  <si>
    <t>11.2.07.12</t>
  </si>
  <si>
    <t>Изделия штучные</t>
  </si>
  <si>
    <t>15</t>
  </si>
  <si>
    <t>15.1.02.27-0112</t>
  </si>
  <si>
    <t>Стол со скамьями без навеса на металлических ножках</t>
  </si>
  <si>
    <t>ФССЦ-2001, 15.1.02.27-0112, приказ Минстроя России № 876/пр от 26.12.2019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</si>
  <si>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</si>
  <si>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</si>
  <si>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</si>
  <si>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</si>
  <si>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</si>
  <si>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</si>
  <si>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</si>
  <si>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</si>
  <si>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</si>
  <si>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</si>
  <si>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</si>
  <si>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</si>
  <si>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</si>
  <si>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</si>
  <si>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</si>
  <si>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</si>
  <si>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</si>
  <si>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</si>
  <si>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</si>
  <si>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</si>
  <si>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</si>
  <si>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</si>
  <si>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</si>
  <si>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</si>
  <si>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</si>
  <si>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</si>
  <si>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</si>
  <si>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</si>
  <si>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</si>
  <si>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</si>
  <si>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</si>
  <si>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</si>
  <si>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</si>
  <si>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</si>
  <si>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</si>
  <si>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</si>
  <si>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</si>
  <si>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</si>
  <si>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</si>
  <si>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</si>
  <si>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</si>
  <si>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</si>
  <si>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</si>
  <si>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</si>
  <si>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</si>
  <si>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</si>
  <si>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</si>
  <si>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</si>
  <si>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</si>
  <si>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</si>
  <si>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</si>
  <si>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</si>
  <si>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</si>
  <si>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</si>
  <si>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З</t>
  </si>
  <si>
    <t>ОТ</t>
  </si>
  <si>
    <t>Э</t>
  </si>
  <si>
    <t>ЭМ, в т.ч. ОТм</t>
  </si>
  <si>
    <t>М</t>
  </si>
  <si>
    <t>Стоимость материальных ресурсов</t>
  </si>
  <si>
    <t>О</t>
  </si>
  <si>
    <t>Стоимость оборудования</t>
  </si>
  <si>
    <t>Н</t>
  </si>
  <si>
    <t>С</t>
  </si>
  <si>
    <t>СП</t>
  </si>
  <si>
    <t>ПГ</t>
  </si>
  <si>
    <t>В</t>
  </si>
  <si>
    <t>НДС</t>
  </si>
  <si>
    <t>НДС 20%</t>
  </si>
  <si>
    <t>И</t>
  </si>
  <si>
    <t>Итого с НДС</t>
  </si>
  <si>
    <t>ФЗ № 303 (3.08.2018)</t>
  </si>
  <si>
    <t>ВсНДС</t>
  </si>
  <si>
    <t>ВСЕГО с НДС 20%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</si>
  <si>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</si>
  <si>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</si>
  <si>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</si>
  <si>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</si>
  <si>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</si>
  <si>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</si>
  <si>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</si>
  <si>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ЗД. и СООРУЖЕНИЙ,  НАРУЖНЫХ ИНЖЕНЕРНЫХ СЕТЕЙ, УЛИЦ И ДОРОГ МЕСТНОГО ЗНАЧЕНИЯ, ИНЖ,СООРУЖЕНИЙ ( ГИДРОТЕХ,СООРУЖ, МОСТОВ И ПУТЕПРОВОДОВ И Т.П.)</t>
  </si>
  <si>
    <t>Капитальный ремонт прозводственных зданий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</si>
  <si>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</si>
  <si>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</si>
  <si>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</si>
  <si>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</si>
  <si>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</si>
  <si>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</si>
  <si>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</si>
  <si>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АЭС.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</si>
  <si>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</si>
  <si>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Сложные объекты</t>
  </si>
  <si>
    <t>АЭС</t>
  </si>
  <si>
    <t>При определении сметной стоимости строительства объектов капитального строительства АЭС.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</si>
  <si>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</si>
  <si>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ОПТ/В</t>
  </si>
  <si>
    <t>{вкл}    - Прокладка  МЕЖДУГОРОДНЫХ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</si>
  <si>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</si>
  <si>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междугородных в/опт. кабелей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</si>
  <si>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</si>
  <si>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</si>
  <si>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</si>
  <si>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</si>
  <si>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</si>
  <si>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</si>
  <si>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</si>
  <si>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(обслуживающие процессы)</t>
  </si>
  <si>
    <t>ГОР</t>
  </si>
  <si>
    <t>(вкл) - ФЕРм-08, выполнение работ на горнорудных объектах  (выкл) - ФЕРм-08, выполнение работ на других объектах</t>
  </si>
  <si>
    <t>Выполнение работ на горнорудных объектах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</si>
  <si>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</si>
  <si>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</si>
  <si>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</si>
  <si>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п.25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</si>
  <si>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</si>
  <si>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</si>
  <si>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</si>
  <si>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п.16</t>
  </si>
  <si>
    <t>К_НР_СЛЖ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</si>
  <si>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объектов атомных электрических станций.  ( если {СЛЖ} = [вкл] )</t>
  </si>
  <si>
    <t>п.27 СЛОЖН</t>
  </si>
  <si>
    <t>К_НР_АЭС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</si>
  <si>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Для объектов атомных электрических станций.  ( если {АЭС} = [вкл] )</t>
  </si>
  <si>
    <t>п.27 АЭС</t>
  </si>
  <si>
    <t>Р_ОКР</t>
  </si>
  <si>
    <t>Разрядность округления результата расчета НР и СП  (с 05.04.2020 - до семи знаков после запятой)</t>
  </si>
  <si>
    <t>Лист_НРиСП</t>
  </si>
  <si>
    <t>Уровень цен</t>
  </si>
  <si>
    <t>Индексы за итогом</t>
  </si>
  <si>
    <t>_OBSM_</t>
  </si>
  <si>
    <t>1-100-30</t>
  </si>
  <si>
    <t>Рабочий среднего разряда 3</t>
  </si>
  <si>
    <t>чел.-ч.</t>
  </si>
  <si>
    <t>4-100-00</t>
  </si>
  <si>
    <t>Затраты труда машинистов</t>
  </si>
  <si>
    <t>91.04.01-031</t>
  </si>
  <si>
    <t>ФСЭМ-2001, 91.04.01-031 , приказ Минстроя России № 876/пр от 26.12.2019</t>
  </si>
  <si>
    <t>Машины бурильно-крановые на автомобиле, глубина бурения 3,5 м</t>
  </si>
  <si>
    <t>маш.-ч</t>
  </si>
  <si>
    <t>91.14.01-002</t>
  </si>
  <si>
    <t>ФСЭМ-2001, 91.14.01-002 , приказ Минстроя России № 876/пр от 26.12.2019</t>
  </si>
  <si>
    <t>Автобетоносмесители, объем барабана 5 м3</t>
  </si>
  <si>
    <t>91.14.02-001</t>
  </si>
  <si>
    <t>ФСЭМ-2001, 91.14.02-001 , приказ Минстроя России № 876/пр от 26.12.2019</t>
  </si>
  <si>
    <t>Автомобили бортовые, грузоподъемность до 5 т</t>
  </si>
  <si>
    <t>11.1.03.01-0001</t>
  </si>
  <si>
    <t>ФССЦ-2001, 11.1.03.01-0001, приказ Минстроя России № 876/пр от 26.12.2019</t>
  </si>
  <si>
    <t>Бруски деревянные, размер 50х50 мм</t>
  </si>
  <si>
    <t>1-100-34</t>
  </si>
  <si>
    <t>Рабочий среднего разряда 3.4</t>
  </si>
  <si>
    <t>91.05.05-015</t>
  </si>
  <si>
    <t>ФСЭМ-2001, 91.05.05-015 , приказ Минстроя России № 876/пр от 26.12.2019</t>
  </si>
  <si>
    <t>Краны на автомобильном ходу, грузоподъемность 16 т</t>
  </si>
  <si>
    <t>01.7.15.03-0042</t>
  </si>
  <si>
    <t>ФССЦ-2001, 01.7.15.03-0042, приказ Минстроя России № 876/пр от 26.12.2019</t>
  </si>
  <si>
    <t>Болты с гайками и шайбами строительные</t>
  </si>
  <si>
    <t>кг</t>
  </si>
  <si>
    <t>01.7.15.06-0111</t>
  </si>
  <si>
    <t>ФССЦ-2001, 01.7.15.06-0111, приказ Минстроя России № 876/пр от 26.12.2019</t>
  </si>
  <si>
    <t>Гвозди строительные</t>
  </si>
  <si>
    <t>14.5.06.03-0002</t>
  </si>
  <si>
    <t>ФССЦ-2001, 14.5.06.03-0002, приказ Минстроя России № 876/пр от 26.12.2019</t>
  </si>
  <si>
    <t>Паста антисептическая</t>
  </si>
  <si>
    <t>1-100-38</t>
  </si>
  <si>
    <t>Рабочий среднего разряда 3.8</t>
  </si>
  <si>
    <t>91.05.05-016</t>
  </si>
  <si>
    <t>ФСЭМ-2001, 91.05.05-016 , приказ Минстроя России № 876/пр от 26.12.2019</t>
  </si>
  <si>
    <t>Краны на автомобильном ходу, грузоподъемность 25 т</t>
  </si>
  <si>
    <t>91.17.04-233</t>
  </si>
  <si>
    <t>ФСЭМ-2001, 91.17.04-233 , приказ Минстроя России № 876/пр от 26.12.2019</t>
  </si>
  <si>
    <t>Установки для сварки ручной дуговой (постоянного тока)</t>
  </si>
  <si>
    <t>01.7.11.07-0181</t>
  </si>
  <si>
    <t>ФССЦ-2001, 01.7.11.07-0181, приказ Минстроя России № 876/пр от 26.12.2019</t>
  </si>
  <si>
    <t>Электроды с основным покрытием Э42А, диаметр 2,5 мм</t>
  </si>
  <si>
    <t>01.7.15.02-0043</t>
  </si>
  <si>
    <t>ФССЦ-2001, 01.7.15.02-0043, приказ Минстроя России № 876/пр от 26.12.2019</t>
  </si>
  <si>
    <t>Болты анкерные с гайкой, диаметр 16 мм, длина 150 мм</t>
  </si>
  <si>
    <t>01.7.15.03-0022</t>
  </si>
  <si>
    <t>ФССЦ-2001, 01.7.15.03-0022, приказ Минстроя России № 876/пр от 26.12.2019</t>
  </si>
  <si>
    <t>Болты с гайками и шайбами оцинкованные для монтажа стальных конструкций, диаметр 16 мм, длина 55-200 мм</t>
  </si>
  <si>
    <t>1-100-32</t>
  </si>
  <si>
    <t>Рабочий среднего разряда 3.2</t>
  </si>
  <si>
    <t>91.05.01-017</t>
  </si>
  <si>
    <t>ФСЭМ-2001, 91.05.01-017 , приказ Минстроя России № 876/пр от 26.12.2019</t>
  </si>
  <si>
    <t>Краны башенные, грузоподъемность 8 т</t>
  </si>
  <si>
    <t>01.7.15.04-0045</t>
  </si>
  <si>
    <t>ФССЦ-2001, 01.7.15.04-0045, приказ Минстроя России № 876/пр от 26.12.2019</t>
  </si>
  <si>
    <t>Винты самонарезающие для крепления профилированного настила и панелей к несущим конструкциям</t>
  </si>
  <si>
    <t>01.7.15.08-0011</t>
  </si>
  <si>
    <t>ФССЦ-2001, 01.7.15.08-0011, приказ Минстроя России № 876/пр от 26.12.2019</t>
  </si>
  <si>
    <t>Заклепки комбинированные для соединения профилированного стального настила и разнообразных листовых деталей</t>
  </si>
  <si>
    <t>1-100-23</t>
  </si>
  <si>
    <t>Рабочий среднего разряда 2.3</t>
  </si>
  <si>
    <t>91.06.06-048</t>
  </si>
  <si>
    <t>ФСЭМ-2001, 91.06.06-048 , приказ Минстроя России № 876/пр от 26.12.2019</t>
  </si>
  <si>
    <t>Подъемники одномачтовые, грузоподъемность до 500 кг, высота подъема 45 м</t>
  </si>
  <si>
    <t>08.1.02.11-0001</t>
  </si>
  <si>
    <t>ФССЦ-2001, 08.1.02.11-0001, приказ Минстроя России № 876/пр от 26.12.2019</t>
  </si>
  <si>
    <t>Поковки из квадратных заготовок, масса 1,8 кг</t>
  </si>
  <si>
    <t>11.2.07.12-0011</t>
  </si>
  <si>
    <t>ФССЦ-2001, 11.2.07.12-0011, приказ Минстроя России № 876/пр от 26.12.2019</t>
  </si>
  <si>
    <t>Штапик (раскладка), размер 19x19 мм</t>
  </si>
  <si>
    <t>Составлен</t>
  </si>
  <si>
    <t>Основание</t>
  </si>
  <si>
    <t>(проектная и (или) иная техническая документация)</t>
  </si>
  <si>
    <t>Сметная стоимость</t>
  </si>
  <si>
    <t>тыс. руб.</t>
  </si>
  <si>
    <t>в том числе:</t>
  </si>
  <si>
    <t>Средства на оплату труда рабочих</t>
  </si>
  <si>
    <t>строительных работ</t>
  </si>
  <si>
    <t xml:space="preserve">Нормативные затраты труда рабочих </t>
  </si>
  <si>
    <t xml:space="preserve">монтажных работ    </t>
  </si>
  <si>
    <t xml:space="preserve">Нормативные затраты труда машинистов </t>
  </si>
  <si>
    <t xml:space="preserve">оборудования         </t>
  </si>
  <si>
    <t xml:space="preserve">прочих затрат       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</si>
  <si>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</si>
  <si>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</si>
  <si>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</si>
  <si>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</si>
  <si>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</si>
  <si>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базисном уровне цен (в текущем уровне цен (гр.8) для ресурсов, отсутствующих в ФРСН), руб.</t>
  </si>
  <si>
    <t>Индексы</t>
  </si>
  <si>
    <t>Сметная стоимость в текущем уровне цен, руб.</t>
  </si>
  <si>
    <t>на единицу измерения</t>
  </si>
  <si>
    <t>коэффициенты</t>
  </si>
  <si>
    <t>всего с учетом коэффициентов</t>
  </si>
  <si>
    <t>всего</t>
  </si>
  <si>
    <t>Раздел: Беседка</t>
  </si>
  <si>
    <t>ЭМ</t>
  </si>
  <si>
    <t>в т.ч. ОТм</t>
  </si>
  <si>
    <t>ЗТ</t>
  </si>
  <si>
    <t>ЗТм</t>
  </si>
  <si>
    <t>Итого по расценке</t>
  </si>
  <si>
    <t>ФОТ</t>
  </si>
  <si>
    <t>НР Строительные металлические конструкции</t>
  </si>
  <si>
    <t>%</t>
  </si>
  <si>
    <t>СП Строительные металлические конструкции</t>
  </si>
  <si>
    <t>Всего по позиции</t>
  </si>
  <si>
    <t>=</t>
  </si>
  <si>
    <t>НР Деревянные конструкции</t>
  </si>
  <si>
    <t>СП Деревянные конструкции</t>
  </si>
  <si>
    <t>12.1</t>
  </si>
  <si>
    <t>НР Кровли</t>
  </si>
  <si>
    <t>СП Кровли</t>
  </si>
  <si>
    <t>Итого прямые затраты по разделу</t>
  </si>
  <si>
    <t>в том числе</t>
  </si>
  <si>
    <t xml:space="preserve">  оплата труда</t>
  </si>
  <si>
    <t xml:space="preserve">  эксплуатация машин и механизмов</t>
  </si>
  <si>
    <t xml:space="preserve">  в том числе</t>
  </si>
  <si>
    <t xml:space="preserve">    эксплуатация машин и механизмов без учета доплат к оплате труда машинистов</t>
  </si>
  <si>
    <t xml:space="preserve">    в том числе</t>
  </si>
  <si>
    <t xml:space="preserve">      оплата труда машинистов (ОТм)</t>
  </si>
  <si>
    <t xml:space="preserve">    доплаты к оплате труда машинистов</t>
  </si>
  <si>
    <t xml:space="preserve">  материальные ресурсы</t>
  </si>
  <si>
    <t xml:space="preserve">    материальные ресурсы без учета дополнительной перевозки</t>
  </si>
  <si>
    <t xml:space="preserve">    дополнительная перевозка материальных ресурсов</t>
  </si>
  <si>
    <t xml:space="preserve">  перевозка</t>
  </si>
  <si>
    <t>Всего ФОТ (справочно)</t>
  </si>
  <si>
    <t>Всего накладные расходы</t>
  </si>
  <si>
    <t>Всего сметная прибыль</t>
  </si>
  <si>
    <t>Итого оборудование</t>
  </si>
  <si>
    <t xml:space="preserve">  оборудование без учета дополнительной перевозки</t>
  </si>
  <si>
    <t xml:space="preserve">  дополнительная перевозка оборудования</t>
  </si>
  <si>
    <t xml:space="preserve">  Итого прочие затраты</t>
  </si>
  <si>
    <t>Итого по разделу</t>
  </si>
  <si>
    <t xml:space="preserve">  материальные ресурсы, отсутствующие в ФРСН</t>
  </si>
  <si>
    <t xml:space="preserve">  оборудование, отсутствующие в ФРСН</t>
  </si>
  <si>
    <t>ИТОГИ ПО СМЕТЕ</t>
  </si>
  <si>
    <t>ВСЕГО строительные работы</t>
  </si>
  <si>
    <t>Всего прямые затраты</t>
  </si>
  <si>
    <t xml:space="preserve">  оплата труда (ОТ)</t>
  </si>
  <si>
    <t>ФОТ (справочно)</t>
  </si>
  <si>
    <t>накладные расходы</t>
  </si>
  <si>
    <t>сметная прибыль</t>
  </si>
  <si>
    <t>ВСЕГО монтажные работы</t>
  </si>
  <si>
    <t>ВСЕГО оборудование</t>
  </si>
  <si>
    <t>ВСЕГО прочие затраты</t>
  </si>
  <si>
    <t xml:space="preserve">   пусконаладочные работы</t>
  </si>
  <si>
    <t xml:space="preserve">   прочие затраты</t>
  </si>
  <si>
    <t>ВСЕГО по смете</t>
  </si>
  <si>
    <t>Всего оборудование</t>
  </si>
  <si>
    <t>всего прочие затраты</t>
  </si>
  <si>
    <t>Справочно</t>
  </si>
  <si>
    <t xml:space="preserve">  затраты труда рабочих</t>
  </si>
  <si>
    <t xml:space="preserve">  затраты труда машинистов</t>
  </si>
  <si>
    <t xml:space="preserve">Составил   </t>
  </si>
  <si>
    <t>[должность,подпись(инициалы,фамилия)]</t>
  </si>
  <si>
    <t xml:space="preserve">Проверил   </t>
  </si>
  <si>
    <t>УТВЕРЖДАЮ</t>
  </si>
  <si>
    <t>Глава</t>
  </si>
  <si>
    <t>Наименование редакции сметных нормативов: ГОСУДАРСТВЕННЫЕ СМЕТНЫЕ НОРМАТИВЫ (ГЭСН, ФЕР) 2020, утвержденные приказами Минстроя России от 26 декабря 2019 г. № 871/пр., № 872/пр., № 873/пр., № 874/пр., № 875/пр., № 876/пр. с изменениями, утвержденными приказами Минстроя России от 30 марта 2020 г. № 171/пр., № 172/пр., от 01 июня 2020 г. № 294/пр., № 295/пр., от 30 июня 2020 г. № 352/пр., № 353/пр., от 20 октября 2020 г. № 635/пр., № 636/пр.</t>
  </si>
  <si>
    <t xml:space="preserve">Ядринского муниципального округа </t>
  </si>
  <si>
    <t>Чувашской Республики</t>
  </si>
  <si>
    <t>_______________Трофимов С.О.</t>
  </si>
  <si>
    <t xml:space="preserve">"___" ______________2024 г.   </t>
  </si>
  <si>
    <t>Локальная смета 02-01</t>
  </si>
  <si>
    <t>(наименование конструктивного решения)</t>
  </si>
  <si>
    <t>Базисно-индексный</t>
  </si>
  <si>
    <t>метод</t>
  </si>
  <si>
    <t>ВОР</t>
  </si>
  <si>
    <t xml:space="preserve">Составлена в ценах II квартала 2024 года </t>
  </si>
  <si>
    <t>ГИП</t>
  </si>
  <si>
    <t>Иванов К.В.</t>
  </si>
  <si>
    <t>"Благоустройство детского парка в д. Ильдубайкино Ядринского муниципального округа Чувашской Республики"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</si>
</sst>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#####;[Red]\-\ #,##0.00#####"/>
    <numFmt numFmtId="166" formatCode="#,##0.00;[Red]\-\ #,##0.00"/>
    <numFmt numFmtId="167" formatCode="#,##0;[Red]\-\ #,##0"/>
  </numFmts>
  <fonts count="25" x14ac:knownFonts="1">
    <font>
      <sz val="10"/>
      <name val="Arial"/>
      <charset val="204"/>
    </font>
    <font>
      <b/>
      <sz val="10"/>
      <color indexed="12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indexed="20"/>
      <name val="Arial"/>
      <family val="2"/>
      <charset val="204"/>
    </font>
    <font>
      <b/>
      <sz val="10"/>
      <color indexed="17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4"/>
      <name val="Arial"/>
      <family val="2"/>
      <charset val="204"/>
    </font>
    <font>
      <b/>
      <sz val="10"/>
      <color indexed="14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3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9"/>
      <color rgb="FF000000"/>
      <name val="Arial"/>
      <family val="2"/>
      <charset val="204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NumberFormat="1" applyFont="1" applyAlignment="1"/>
    <xf numFmtId="0" fontId="10" fillId="0" borderId="0" xfId="0" applyNumberFormat="1" applyFont="1" applyAlignment="1">
      <alignment horizontal="left" vertical="top" wrapText="1"/>
    </xf>
    <xf numFmtId="0" fontId="11" fillId="0" borderId="0" xfId="0" applyNumberFormat="1" applyFont="1" applyAlignment="1"/>
    <xf numFmtId="0" fontId="12" fillId="0" borderId="0" xfId="0" applyNumberFormat="1" applyFont="1" applyAlignment="1"/>
    <xf numFmtId="0" fontId="14" fillId="0" borderId="0" xfId="0" applyNumberFormat="1" applyFont="1" applyAlignment="1"/>
    <xf numFmtId="0" fontId="10" fillId="0" borderId="0" xfId="0" applyNumberFormat="1" applyFont="1" applyAlignment="1">
      <alignment horizontal="right"/>
    </xf>
    <xf numFmtId="0" fontId="15" fillId="0" borderId="0" xfId="0" applyNumberFormat="1" applyFont="1" applyAlignment="1"/>
    <xf numFmtId="164" fontId="12" fillId="0" borderId="0" xfId="0" applyNumberFormat="1" applyFont="1" applyAlignment="1"/>
    <xf numFmtId="0" fontId="12" fillId="0" borderId="1" xfId="0" applyNumberFormat="1" applyFont="1" applyBorder="1" applyAlignment="1"/>
    <xf numFmtId="0" fontId="10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/>
    </xf>
    <xf numFmtId="0" fontId="12" fillId="0" borderId="7" xfId="0" applyNumberFormat="1" applyFont="1" applyBorder="1" applyAlignment="1">
      <alignment horizontal="center"/>
    </xf>
    <xf numFmtId="0" fontId="17" fillId="0" borderId="0" xfId="0" quotePrefix="1" applyFont="1" applyAlignment="1">
      <alignment horizontal="lef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left" wrapText="1"/>
    </xf>
    <xf numFmtId="165" fontId="17" fillId="0" borderId="0" xfId="0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7" fontId="17" fillId="0" borderId="0" xfId="0" applyNumberFormat="1" applyFont="1" applyAlignment="1">
      <alignment horizontal="right"/>
    </xf>
    <xf numFmtId="0" fontId="9" fillId="0" borderId="0" xfId="0" applyFont="1" applyAlignment="1">
      <alignment vertical="top" wrapText="1"/>
    </xf>
    <xf numFmtId="0" fontId="17" fillId="0" borderId="0" xfId="0" applyFont="1" applyAlignment="1">
      <alignment horizontal="right" vertical="top" wrapText="1"/>
    </xf>
    <xf numFmtId="167" fontId="18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right" wrapText="1"/>
    </xf>
    <xf numFmtId="165" fontId="1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left"/>
    </xf>
    <xf numFmtId="166" fontId="1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left" wrapText="1"/>
    </xf>
    <xf numFmtId="167" fontId="1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right" wrapText="1"/>
    </xf>
    <xf numFmtId="167" fontId="0" fillId="0" borderId="0" xfId="0" applyNumberFormat="1"/>
    <xf numFmtId="0" fontId="0" fillId="0" borderId="1" xfId="0" applyBorder="1"/>
    <xf numFmtId="0" fontId="9" fillId="0" borderId="1" xfId="0" applyFont="1" applyBorder="1" applyAlignment="1">
      <alignment vertical="top" wrapText="1"/>
    </xf>
    <xf numFmtId="0" fontId="17" fillId="0" borderId="1" xfId="0" quotePrefix="1" applyFont="1" applyBorder="1" applyAlignment="1">
      <alignment horizontal="left" vertical="top" wrapText="1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167" fontId="17" fillId="0" borderId="0" xfId="0" applyNumberFormat="1" applyFont="1" applyAlignment="1">
      <alignment horizontal="right" vertical="center"/>
    </xf>
    <xf numFmtId="166" fontId="17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0" fontId="19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right" vertical="center"/>
    </xf>
    <xf numFmtId="167" fontId="19" fillId="0" borderId="2" xfId="0" applyNumberFormat="1" applyFont="1" applyBorder="1" applyAlignment="1">
      <alignment horizontal="right" vertical="center"/>
    </xf>
    <xf numFmtId="166" fontId="19" fillId="0" borderId="2" xfId="0" applyNumberFormat="1" applyFont="1" applyBorder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right"/>
    </xf>
    <xf numFmtId="166" fontId="12" fillId="0" borderId="0" xfId="0" applyNumberFormat="1" applyFont="1" applyAlignment="1"/>
    <xf numFmtId="166" fontId="10" fillId="0" borderId="0" xfId="0" applyNumberFormat="1" applyFont="1" applyAlignment="1"/>
    <xf numFmtId="165" fontId="10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left"/>
    </xf>
    <xf numFmtId="0" fontId="12" fillId="0" borderId="1" xfId="0" applyNumberFormat="1" applyFont="1" applyBorder="1" applyAlignment="1">
      <alignment horizontal="left"/>
    </xf>
    <xf numFmtId="0" fontId="21" fillId="0" borderId="0" xfId="1" applyFont="1"/>
    <xf numFmtId="0" fontId="21" fillId="0" borderId="0" xfId="1" applyFont="1" applyAlignment="1"/>
    <xf numFmtId="0" fontId="21" fillId="0" borderId="0" xfId="1" applyFont="1" applyBorder="1" applyAlignment="1">
      <alignment wrapText="1"/>
    </xf>
    <xf numFmtId="0" fontId="21" fillId="0" borderId="1" xfId="1" applyFont="1" applyBorder="1" applyAlignment="1">
      <alignment horizontal="center"/>
    </xf>
    <xf numFmtId="0" fontId="21" fillId="0" borderId="0" xfId="1" applyFont="1" applyBorder="1"/>
    <xf numFmtId="0" fontId="21" fillId="0" borderId="0" xfId="1" applyFont="1" applyAlignment="1">
      <alignment horizontal="left" wrapText="1"/>
    </xf>
    <xf numFmtId="0" fontId="21" fillId="0" borderId="0" xfId="1" applyFont="1" applyAlignment="1">
      <alignment wrapText="1"/>
    </xf>
    <xf numFmtId="0" fontId="24" fillId="0" borderId="0" xfId="1" applyFont="1" applyBorder="1" applyAlignment="1">
      <alignment vertical="top" wrapText="1"/>
    </xf>
    <xf numFmtId="0" fontId="23" fillId="0" borderId="0" xfId="1" applyFont="1"/>
    <xf numFmtId="14" fontId="21" fillId="0" borderId="0" xfId="1" applyNumberFormat="1" applyFont="1" applyBorder="1" applyAlignment="1"/>
    <xf numFmtId="0" fontId="21" fillId="0" borderId="0" xfId="1" applyFont="1" applyBorder="1" applyAlignment="1"/>
    <xf numFmtId="0" fontId="10" fillId="0" borderId="0" xfId="0" applyNumberFormat="1" applyFont="1" applyAlignment="1">
      <alignment horizontal="right" vertical="center"/>
    </xf>
    <xf numFmtId="0" fontId="20" fillId="0" borderId="2" xfId="0" applyNumberFormat="1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167" fontId="19" fillId="0" borderId="0" xfId="0" applyNumberFormat="1" applyFont="1" applyAlignment="1">
      <alignment horizontal="left"/>
    </xf>
    <xf numFmtId="167" fontId="19" fillId="0" borderId="2" xfId="0" applyNumberFormat="1" applyFont="1" applyBorder="1" applyAlignment="1">
      <alignment horizontal="right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166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21" fillId="0" borderId="1" xfId="1" applyFont="1" applyBorder="1" applyAlignment="1">
      <alignment horizontal="left"/>
    </xf>
    <xf numFmtId="0" fontId="24" fillId="0" borderId="2" xfId="1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right"/>
    </xf>
    <xf numFmtId="0" fontId="10" fillId="0" borderId="9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wrapText="1"/>
    </xf>
    <xf numFmtId="0" fontId="22" fillId="0" borderId="0" xfId="1" applyFont="1" applyAlignment="1">
      <alignment horizontal="center" wrapText="1"/>
    </xf>
    <xf numFmtId="0" fontId="23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278"/>
  <sheetViews>
    <sheetView tabSelected="1" topLeftCell="A133" zoomScaleNormal="100" workbookViewId="0">
      <selection activeCell="E4" sqref="E4"/>
    </sheetView>
  </sheetViews>
  <sheetFormatPr defaultRowHeight="12.75" x14ac:dyDescent="0.2"/>
  <cols>
    <col min="1" max="1" width="5.7109375" customWidth="1"/>
    <col min="2" max="2" width="20.7109375" customWidth="1"/>
    <col min="3" max="3" width="40.7109375" customWidth="1"/>
    <col min="4" max="4" width="10.7109375" customWidth="1"/>
    <col min="5" max="12" width="15.7109375" customWidth="1"/>
    <col min="15" max="99" width="0" hidden="1" customWidth="1"/>
  </cols>
  <sheetData>
    <row r="1" spans="1:94" ht="15" x14ac:dyDescent="0.2">
      <c r="A1" s="69"/>
      <c r="B1" s="69"/>
      <c r="C1" s="69"/>
      <c r="D1" s="69"/>
      <c r="E1" s="69"/>
      <c r="F1" s="69"/>
      <c r="G1" s="69"/>
      <c r="H1" s="114" t="s">
        <v>408</v>
      </c>
      <c r="I1" s="114"/>
      <c r="J1" s="114"/>
      <c r="K1" s="114"/>
      <c r="L1" s="69"/>
    </row>
    <row r="2" spans="1:94" ht="38.25" customHeight="1" x14ac:dyDescent="0.2">
      <c r="A2" s="69"/>
      <c r="B2" s="69"/>
      <c r="C2" s="69"/>
      <c r="D2" s="69"/>
      <c r="E2" s="69"/>
      <c r="F2" s="69"/>
      <c r="G2" s="69"/>
      <c r="H2" s="114" t="s">
        <v>409</v>
      </c>
      <c r="I2" s="114"/>
      <c r="J2" s="114"/>
      <c r="K2" s="114"/>
      <c r="L2" s="69"/>
      <c r="CP2" s="10" t="s">
        <v>410</v>
      </c>
    </row>
    <row r="3" spans="1:94" ht="12.75" customHeight="1" x14ac:dyDescent="0.2">
      <c r="A3" s="69"/>
      <c r="B3" s="69"/>
      <c r="C3" s="69"/>
      <c r="D3" s="69"/>
      <c r="E3" s="69"/>
      <c r="F3" s="69"/>
      <c r="G3" s="69"/>
      <c r="H3" s="114" t="s">
        <v>411</v>
      </c>
      <c r="I3" s="114"/>
      <c r="J3" s="114"/>
      <c r="K3" s="114"/>
      <c r="L3" s="69"/>
    </row>
    <row r="4" spans="1:94" ht="15.75" customHeight="1" x14ac:dyDescent="0.2">
      <c r="A4" s="69"/>
      <c r="B4" s="69"/>
      <c r="C4" s="69"/>
      <c r="D4" s="69"/>
      <c r="E4" s="69"/>
      <c r="F4" s="69"/>
      <c r="G4" s="69"/>
      <c r="H4" s="114" t="s">
        <v>412</v>
      </c>
      <c r="I4" s="114"/>
      <c r="J4" s="114"/>
      <c r="K4" s="114"/>
      <c r="L4" s="69"/>
    </row>
    <row r="5" spans="1:94" ht="12.75" customHeight="1" x14ac:dyDescent="0.2">
      <c r="A5" s="69"/>
      <c r="B5" s="69"/>
      <c r="C5" s="69"/>
      <c r="D5" s="69"/>
      <c r="E5" s="69"/>
      <c r="F5" s="69"/>
      <c r="G5" s="69"/>
      <c r="H5" s="114" t="s">
        <v>413</v>
      </c>
      <c r="I5" s="114"/>
      <c r="J5" s="114"/>
      <c r="K5" s="114"/>
      <c r="L5" s="69"/>
    </row>
    <row r="6" spans="1:94" ht="12.75" customHeight="1" x14ac:dyDescent="0.2">
      <c r="A6" s="69"/>
      <c r="B6" s="69"/>
      <c r="C6" s="69"/>
      <c r="D6" s="69"/>
      <c r="E6" s="69"/>
      <c r="F6" s="69"/>
      <c r="G6" s="69"/>
      <c r="H6" s="115" t="s">
        <v>414</v>
      </c>
      <c r="I6" s="115"/>
      <c r="J6" s="115"/>
      <c r="K6" s="115"/>
      <c r="L6" s="69"/>
    </row>
    <row r="7" spans="1:94" ht="15.75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94" ht="14.25" customHeight="1" x14ac:dyDescent="0.25">
      <c r="A8" s="116" t="s">
        <v>415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69"/>
    </row>
    <row r="9" spans="1:94" ht="14.25" customHeight="1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69"/>
    </row>
    <row r="10" spans="1:94" ht="15.75" customHeight="1" x14ac:dyDescent="0.25">
      <c r="A10" s="117" t="s">
        <v>423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94" ht="14.25" customHeight="1" x14ac:dyDescent="0.2">
      <c r="A11" s="69"/>
      <c r="B11" s="109" t="s">
        <v>416</v>
      </c>
      <c r="C11" s="109"/>
      <c r="D11" s="109"/>
      <c r="E11" s="109"/>
      <c r="F11" s="109"/>
      <c r="G11" s="109"/>
      <c r="H11" s="109"/>
      <c r="I11" s="109"/>
      <c r="J11" s="109"/>
      <c r="K11" s="109"/>
      <c r="L11" s="71"/>
    </row>
    <row r="12" spans="1:94" ht="14.25" customHeight="1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94" ht="15.75" customHeight="1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94" ht="15" customHeight="1" x14ac:dyDescent="0.2">
      <c r="A14" s="69" t="s">
        <v>322</v>
      </c>
      <c r="B14" s="69"/>
      <c r="C14" s="72" t="s">
        <v>417</v>
      </c>
      <c r="D14" s="69" t="s">
        <v>418</v>
      </c>
      <c r="E14" s="69"/>
      <c r="F14" s="69"/>
      <c r="G14" s="69"/>
      <c r="H14" s="69"/>
      <c r="I14" s="69"/>
      <c r="J14" s="69"/>
      <c r="K14" s="69"/>
      <c r="L14" s="69"/>
    </row>
    <row r="15" spans="1:94" ht="18" customHeight="1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94" ht="14.25" customHeight="1" x14ac:dyDescent="0.2">
      <c r="A16" s="69" t="s">
        <v>323</v>
      </c>
      <c r="B16" s="69"/>
      <c r="C16" s="108" t="s">
        <v>419</v>
      </c>
      <c r="D16" s="108"/>
      <c r="E16" s="108"/>
      <c r="F16" s="108"/>
      <c r="G16" s="108"/>
      <c r="H16" s="69"/>
      <c r="I16" s="69"/>
      <c r="J16" s="69"/>
      <c r="K16" s="69"/>
      <c r="L16" s="73"/>
    </row>
    <row r="17" spans="1:12" ht="14.25" customHeight="1" x14ac:dyDescent="0.2">
      <c r="A17" s="74"/>
      <c r="B17" s="75"/>
      <c r="C17" s="109" t="s">
        <v>324</v>
      </c>
      <c r="D17" s="109"/>
      <c r="E17" s="109"/>
      <c r="F17" s="109"/>
      <c r="G17" s="109"/>
      <c r="H17" s="76"/>
      <c r="I17" s="76"/>
      <c r="J17" s="76"/>
      <c r="K17" s="76"/>
      <c r="L17" s="76"/>
    </row>
    <row r="18" spans="1:12" ht="14.25" customHeight="1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pans="1:12" ht="12.75" customHeight="1" x14ac:dyDescent="0.25">
      <c r="A19" s="77" t="s">
        <v>420</v>
      </c>
      <c r="B19" s="69"/>
      <c r="C19" s="69"/>
      <c r="D19" s="78"/>
      <c r="E19" s="79"/>
      <c r="F19" s="69"/>
      <c r="G19" s="69"/>
      <c r="H19" s="69"/>
      <c r="I19" s="69"/>
      <c r="J19" s="69"/>
      <c r="K19" s="69"/>
      <c r="L19" s="69"/>
    </row>
    <row r="20" spans="1:12" ht="14.2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14.25" customHeight="1" x14ac:dyDescent="0.2">
      <c r="A21" s="13" t="s">
        <v>325</v>
      </c>
      <c r="B21" s="12"/>
      <c r="C21" s="63">
        <f>L271/1000</f>
        <v>212.92699999999999</v>
      </c>
      <c r="D21" s="106">
        <f>J271/1000</f>
        <v>16.96</v>
      </c>
      <c r="E21" s="107"/>
      <c r="F21" s="9" t="s">
        <v>326</v>
      </c>
      <c r="G21" s="11"/>
      <c r="H21" s="11"/>
      <c r="I21" s="11"/>
      <c r="J21" s="11"/>
      <c r="K21" s="11"/>
      <c r="L21" s="12"/>
    </row>
    <row r="22" spans="1:12" ht="14.25" customHeight="1" x14ac:dyDescent="0.2">
      <c r="A22" s="13"/>
      <c r="B22" s="12"/>
      <c r="C22" s="63"/>
      <c r="D22" s="63"/>
      <c r="E22" s="14"/>
      <c r="F22" s="9"/>
      <c r="G22" s="11"/>
      <c r="H22" s="11"/>
      <c r="I22" s="11"/>
      <c r="J22" s="11"/>
      <c r="K22" s="11"/>
      <c r="L22" s="12"/>
    </row>
    <row r="23" spans="1:12" ht="14.25" customHeight="1" x14ac:dyDescent="0.2">
      <c r="A23" s="12"/>
      <c r="B23" s="15" t="s">
        <v>327</v>
      </c>
      <c r="C23" s="64"/>
      <c r="D23" s="64"/>
      <c r="E23" s="16"/>
      <c r="F23" s="9"/>
      <c r="G23" s="9" t="s">
        <v>328</v>
      </c>
      <c r="H23" s="12"/>
      <c r="I23" s="65">
        <f>ROUND((SUM(AR35:AR271))/1000, 2)</f>
        <v>20.239999999999998</v>
      </c>
      <c r="J23" s="65">
        <f>ROUND((SUM(S35:S271))/1000, 2)</f>
        <v>0.62</v>
      </c>
      <c r="K23" s="9" t="s">
        <v>326</v>
      </c>
      <c r="L23" s="12"/>
    </row>
    <row r="24" spans="1:12" ht="14.25" customHeight="1" x14ac:dyDescent="0.2">
      <c r="A24" s="12"/>
      <c r="B24" s="13" t="s">
        <v>329</v>
      </c>
      <c r="C24" s="63">
        <f>ROUND((ROUND(SUMIF(CD35:CD271, 1, AA35:AA271)*Source!D178, 0)+ROUND((SUMIF(CD35:CD271, 1, P35:P271)+SUMIF(CD35:CD271, 1, R35:R271))*Source!E178, 0)+ROUND(SUMIF(CD35:CD271, 1, S35:S271)*Source!G178, 0)+ROUND(SUMIF(CD35:CD271, 1, AG35:AG271)*Source!L178, 0)+ROUND(SUMIF(CD35:CD271, 1, AF35:AF271)*Source!L178, 0)+SUMIF(CD35:CD271, 1, AZ35:AZ271)+SUMIF(CD35:CD271, 1, BA35:BA271))/1000, 2)</f>
        <v>177.44</v>
      </c>
      <c r="D24" s="106">
        <f>ROUND((SUM(BH35:BH271)+SUMIF(CD35:CD271, 1, AG35:AG271)+SUMIF(CD35:CD271, 1, AF35:AF271))/1000, 2)</f>
        <v>14.13</v>
      </c>
      <c r="E24" s="107"/>
      <c r="F24" s="9" t="s">
        <v>326</v>
      </c>
      <c r="G24" s="9" t="s">
        <v>330</v>
      </c>
      <c r="H24" s="12"/>
      <c r="I24" s="9"/>
      <c r="J24" s="66">
        <f>Source!F113</f>
        <v>68.476216000000008</v>
      </c>
      <c r="K24" s="9" t="s">
        <v>252</v>
      </c>
      <c r="L24" s="12"/>
    </row>
    <row r="25" spans="1:12" ht="14.25" customHeight="1" x14ac:dyDescent="0.2">
      <c r="A25" s="12"/>
      <c r="B25" s="13" t="s">
        <v>331</v>
      </c>
      <c r="C25" s="63">
        <f>ROUND((ROUND(SUMIF(CD35:CD271, 2, AA35:AA271)*Source!D178, 0)+ROUND((SUMIF(CD35:CD271, 2, P35:P271)+SUMIF(CD35:CD271, 2, R35:R271))*Source!E178, 0)+ROUND(SUMIF(CD35:CD271, 2, S35:S271)*Source!G178, 0)+ROUND(SUMIF(CD35:CD271, 2, AG35:AG271)*Source!L178, 0)+ROUND(SUMIF(CD35:CD271, 2, AF35:AF271)*Source!L178, 0)+SUMIF(CD35:CD271, 2, AZ35:AZ271)+SUMIF(CD35:CD271, 2, BA35:BA271))/1000, 2)</f>
        <v>0</v>
      </c>
      <c r="D25" s="106">
        <f>ROUND((SUM(BI35:BI271)+SUMIF(CD35:CD271, 2, AG35:AG271)+SUMIF(CD35:CD271, 2, AF35:AF271))/1000, 2)</f>
        <v>0</v>
      </c>
      <c r="E25" s="107"/>
      <c r="F25" s="9" t="s">
        <v>326</v>
      </c>
      <c r="G25" s="9" t="s">
        <v>332</v>
      </c>
      <c r="H25" s="12"/>
      <c r="I25" s="9"/>
      <c r="J25" s="66">
        <f>Source!F114</f>
        <v>5.7678919999999998</v>
      </c>
      <c r="K25" s="9" t="s">
        <v>252</v>
      </c>
      <c r="L25" s="12"/>
    </row>
    <row r="26" spans="1:12" ht="14.25" customHeight="1" x14ac:dyDescent="0.2">
      <c r="A26" s="12"/>
      <c r="B26" s="13" t="s">
        <v>333</v>
      </c>
      <c r="C26" s="63">
        <f>ROUND((ROUND(SUM(BJ35:BJ271)*Source!H178, 0)+ROUND(SUMIF(CD35:CD271, 3, AH35:AH271)*Source!L178, 0)+ROUND(SUMIF(CD35:CD271, 3, AF35:AF271)*Source!L178, 0))/1000, 2)</f>
        <v>0</v>
      </c>
      <c r="D26" s="106">
        <f>ROUND((SUM(BJ35:BJ271)+SUM(AH35:AH271))/1000, 2)</f>
        <v>0</v>
      </c>
      <c r="E26" s="107"/>
      <c r="F26" s="9" t="s">
        <v>326</v>
      </c>
      <c r="G26" s="9"/>
      <c r="H26" s="9"/>
      <c r="I26" s="9"/>
      <c r="J26" s="9"/>
      <c r="K26" s="9"/>
      <c r="L26" s="12"/>
    </row>
    <row r="27" spans="1:12" ht="14.25" customHeight="1" x14ac:dyDescent="0.2">
      <c r="A27" s="12"/>
      <c r="B27" s="13" t="s">
        <v>334</v>
      </c>
      <c r="C27" s="63">
        <f>ROUND((ROUND(SUM(BL35:BL271)*Source!I178, 0)+ROUND(SUMIF(CD35:CD271, 4, AG35:AG271)*Source!L178, 0)+SUM(BR35:BR271)+ROUND(SUM(BO35:BO271)*Source!H178, 0)+ROUND(SUM(BN35:BN271)*Source!L178, 0))/1000, 2)</f>
        <v>0</v>
      </c>
      <c r="D27" s="106">
        <f>ROUND((SUM(BL35:BL271)+SUMIF(CD35:CD271, 4, AG35:AG271)+SUM(BM35:BM271)+SUM(BO35:BO271)+SUM(BN35:BN271))/1000, 2)</f>
        <v>0</v>
      </c>
      <c r="E27" s="110"/>
      <c r="F27" s="9" t="s">
        <v>326</v>
      </c>
      <c r="G27" s="9"/>
      <c r="H27" s="9"/>
      <c r="I27" s="9"/>
      <c r="J27" s="9"/>
      <c r="K27" s="9"/>
      <c r="L27" s="12"/>
    </row>
    <row r="28" spans="1:12" ht="14.2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ht="12.75" customHeight="1" x14ac:dyDescent="0.2">
      <c r="A29" s="102" t="s">
        <v>335</v>
      </c>
      <c r="B29" s="102" t="s">
        <v>336</v>
      </c>
      <c r="C29" s="102" t="s">
        <v>337</v>
      </c>
      <c r="D29" s="102" t="s">
        <v>338</v>
      </c>
      <c r="E29" s="90" t="s">
        <v>339</v>
      </c>
      <c r="F29" s="91"/>
      <c r="G29" s="111"/>
      <c r="H29" s="90" t="s">
        <v>340</v>
      </c>
      <c r="I29" s="91"/>
      <c r="J29" s="92"/>
      <c r="K29" s="99" t="s">
        <v>341</v>
      </c>
      <c r="L29" s="102" t="s">
        <v>342</v>
      </c>
    </row>
    <row r="30" spans="1:12" ht="12.75" customHeight="1" x14ac:dyDescent="0.2">
      <c r="A30" s="103"/>
      <c r="B30" s="103"/>
      <c r="C30" s="103"/>
      <c r="D30" s="103"/>
      <c r="E30" s="93"/>
      <c r="F30" s="94"/>
      <c r="G30" s="112"/>
      <c r="H30" s="93"/>
      <c r="I30" s="94"/>
      <c r="J30" s="95"/>
      <c r="K30" s="100"/>
      <c r="L30" s="103"/>
    </row>
    <row r="31" spans="1:12" ht="12.75" customHeight="1" x14ac:dyDescent="0.2">
      <c r="A31" s="103"/>
      <c r="B31" s="103"/>
      <c r="C31" s="103"/>
      <c r="D31" s="103"/>
      <c r="E31" s="93"/>
      <c r="F31" s="94"/>
      <c r="G31" s="112"/>
      <c r="H31" s="93"/>
      <c r="I31" s="94"/>
      <c r="J31" s="95"/>
      <c r="K31" s="100"/>
      <c r="L31" s="103"/>
    </row>
    <row r="32" spans="1:12" ht="12.75" customHeight="1" x14ac:dyDescent="0.2">
      <c r="A32" s="103"/>
      <c r="B32" s="103"/>
      <c r="C32" s="103"/>
      <c r="D32" s="103"/>
      <c r="E32" s="96"/>
      <c r="F32" s="97"/>
      <c r="G32" s="113"/>
      <c r="H32" s="96"/>
      <c r="I32" s="97"/>
      <c r="J32" s="98"/>
      <c r="K32" s="100"/>
      <c r="L32" s="103"/>
    </row>
    <row r="33" spans="1:12" ht="25.5" customHeight="1" x14ac:dyDescent="0.2">
      <c r="A33" s="104"/>
      <c r="B33" s="104"/>
      <c r="C33" s="104"/>
      <c r="D33" s="104"/>
      <c r="E33" s="18" t="s">
        <v>343</v>
      </c>
      <c r="F33" s="18" t="s">
        <v>344</v>
      </c>
      <c r="G33" s="19" t="s">
        <v>345</v>
      </c>
      <c r="H33" s="18" t="s">
        <v>343</v>
      </c>
      <c r="I33" s="18" t="s">
        <v>344</v>
      </c>
      <c r="J33" s="20" t="s">
        <v>346</v>
      </c>
      <c r="K33" s="101"/>
      <c r="L33" s="104"/>
    </row>
    <row r="34" spans="1:12" ht="14.25" customHeight="1" x14ac:dyDescent="0.2">
      <c r="A34" s="21">
        <v>1</v>
      </c>
      <c r="B34" s="21">
        <v>2</v>
      </c>
      <c r="C34" s="21">
        <v>3</v>
      </c>
      <c r="D34" s="21">
        <v>4</v>
      </c>
      <c r="E34" s="21">
        <v>5</v>
      </c>
      <c r="F34" s="21">
        <v>6</v>
      </c>
      <c r="G34" s="21">
        <v>7</v>
      </c>
      <c r="H34" s="21">
        <v>8</v>
      </c>
      <c r="I34" s="21">
        <v>9</v>
      </c>
      <c r="J34" s="21">
        <v>10</v>
      </c>
      <c r="K34" s="22">
        <v>11</v>
      </c>
      <c r="L34" s="22">
        <v>12</v>
      </c>
    </row>
    <row r="36" spans="1:12" ht="16.5" x14ac:dyDescent="0.25">
      <c r="A36" s="105" t="s">
        <v>347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</row>
    <row r="37" spans="1:12" ht="42.75" x14ac:dyDescent="0.2">
      <c r="A37" s="23" t="s">
        <v>15</v>
      </c>
      <c r="B37" s="25" t="str">
        <f>Source!F28</f>
        <v>09-08-001-01</v>
      </c>
      <c r="C37" s="25" t="str">
        <f>Source!G28</f>
        <v>Установка металлических столбов высотой до 4 м: с погружением в бетонное основание</v>
      </c>
      <c r="D37" s="26" t="str">
        <f>Source!H28</f>
        <v>100 ШТ</v>
      </c>
      <c r="E37" s="29">
        <f>Source!K28</f>
        <v>7.0000000000000007E-2</v>
      </c>
      <c r="F37" s="24"/>
      <c r="G37" s="29">
        <f>Source!I28</f>
        <v>7.0000000000000007E-2</v>
      </c>
      <c r="H37" s="30"/>
      <c r="I37" s="28"/>
      <c r="J37" s="31"/>
      <c r="K37" s="27"/>
      <c r="L37" s="31"/>
    </row>
    <row r="38" spans="1:12" x14ac:dyDescent="0.2">
      <c r="C38" s="32" t="str">
        <f>"Объем: "&amp;Source!I28&amp;"=7/"&amp;"100"</f>
        <v>Объем: 0,07=7/100</v>
      </c>
    </row>
    <row r="39" spans="1:12" ht="14.25" x14ac:dyDescent="0.2">
      <c r="A39" s="25"/>
      <c r="B39" s="33">
        <v>1</v>
      </c>
      <c r="C39" s="25" t="s">
        <v>174</v>
      </c>
      <c r="D39" s="26"/>
      <c r="E39" s="29"/>
      <c r="F39" s="24"/>
      <c r="G39" s="29"/>
      <c r="H39" s="30">
        <f>Source!AO28</f>
        <v>304.01</v>
      </c>
      <c r="I39" s="28"/>
      <c r="J39" s="31">
        <f>ROUND(Source!AF28*Source!I28, 0)</f>
        <v>21</v>
      </c>
      <c r="K39" s="27">
        <f>IF(Source!BA28&lt;&gt; 0, Source!BA28, 1)</f>
        <v>32.909999999999997</v>
      </c>
      <c r="L39" s="31">
        <f>Source!HJ28</f>
        <v>691</v>
      </c>
    </row>
    <row r="40" spans="1:12" ht="14.25" x14ac:dyDescent="0.2">
      <c r="A40" s="25"/>
      <c r="B40" s="33">
        <v>2</v>
      </c>
      <c r="C40" s="25" t="s">
        <v>348</v>
      </c>
      <c r="D40" s="26"/>
      <c r="E40" s="29"/>
      <c r="F40" s="24"/>
      <c r="G40" s="29"/>
      <c r="H40" s="30">
        <f>Source!AM28</f>
        <v>3430.97</v>
      </c>
      <c r="I40" s="28"/>
      <c r="J40" s="31">
        <f>ROUND(Source!AD28*Source!I28, 0)</f>
        <v>240</v>
      </c>
      <c r="K40" s="27"/>
      <c r="L40" s="31"/>
    </row>
    <row r="41" spans="1:12" ht="14.25" x14ac:dyDescent="0.2">
      <c r="A41" s="25"/>
      <c r="B41" s="33">
        <v>3</v>
      </c>
      <c r="C41" s="25" t="s">
        <v>349</v>
      </c>
      <c r="D41" s="26"/>
      <c r="E41" s="29"/>
      <c r="F41" s="24"/>
      <c r="G41" s="29"/>
      <c r="H41" s="30">
        <f>Source!AN28</f>
        <v>281.18</v>
      </c>
      <c r="I41" s="28"/>
      <c r="J41" s="34">
        <f>ROUND(Source!AE28*Source!I28, 0)</f>
        <v>20</v>
      </c>
      <c r="K41" s="27">
        <f>IF(Source!BS28&lt;&gt; 0, Source!BS28, 1)</f>
        <v>32.909999999999997</v>
      </c>
      <c r="L41" s="34">
        <f>Source!HI28</f>
        <v>658</v>
      </c>
    </row>
    <row r="42" spans="1:12" ht="14.25" x14ac:dyDescent="0.2">
      <c r="A42" s="25"/>
      <c r="B42" s="33">
        <v>4</v>
      </c>
      <c r="C42" s="25" t="s">
        <v>177</v>
      </c>
      <c r="D42" s="26"/>
      <c r="E42" s="29"/>
      <c r="F42" s="24"/>
      <c r="G42" s="29"/>
      <c r="H42" s="30">
        <f>Source!AL28</f>
        <v>233.1</v>
      </c>
      <c r="I42" s="28"/>
      <c r="J42" s="31">
        <f>ROUND(Source!AC28*Source!I28, 0)</f>
        <v>16</v>
      </c>
      <c r="K42" s="27"/>
      <c r="L42" s="31"/>
    </row>
    <row r="43" spans="1:12" ht="14.25" x14ac:dyDescent="0.2">
      <c r="A43" s="25"/>
      <c r="B43" s="25" t="str">
        <f>EtalonRes!I6</f>
        <v>04.1.02.05</v>
      </c>
      <c r="C43" s="25" t="str">
        <f>EtalonRes!K6</f>
        <v>Смеси бетонные тяжелого бетона</v>
      </c>
      <c r="D43" s="26" t="str">
        <f>EtalonRes!O6</f>
        <v>м3</v>
      </c>
      <c r="E43" s="29">
        <f>EtalonRes!X6</f>
        <v>6.34</v>
      </c>
      <c r="F43" s="24"/>
      <c r="G43" s="29">
        <f>ROUND(EtalonRes!AG6*Source!I28, 7)</f>
        <v>0.44379999999999997</v>
      </c>
      <c r="H43" s="30"/>
      <c r="I43" s="28"/>
      <c r="J43" s="31"/>
      <c r="K43" s="27"/>
      <c r="L43" s="31"/>
    </row>
    <row r="44" spans="1:12" ht="14.25" x14ac:dyDescent="0.2">
      <c r="A44" s="25"/>
      <c r="B44" s="25" t="str">
        <f>EtalonRes!I7</f>
        <v>07.2.07.11</v>
      </c>
      <c r="C44" s="25" t="str">
        <f>EtalonRes!K7</f>
        <v>Стойки металлические опорные</v>
      </c>
      <c r="D44" s="26" t="str">
        <f>EtalonRes!O7</f>
        <v>ШТ</v>
      </c>
      <c r="E44" s="29">
        <f>EtalonRes!X7</f>
        <v>100</v>
      </c>
      <c r="F44" s="24"/>
      <c r="G44" s="29">
        <f>ROUND(EtalonRes!AG7*Source!I28, 7)</f>
        <v>7</v>
      </c>
      <c r="H44" s="30"/>
      <c r="I44" s="28"/>
      <c r="J44" s="31"/>
      <c r="K44" s="27"/>
      <c r="L44" s="31"/>
    </row>
    <row r="45" spans="1:12" ht="14.25" x14ac:dyDescent="0.2">
      <c r="A45" s="25"/>
      <c r="B45" s="25"/>
      <c r="C45" s="25" t="s">
        <v>350</v>
      </c>
      <c r="D45" s="26" t="s">
        <v>252</v>
      </c>
      <c r="E45" s="29">
        <f>Source!AQ28</f>
        <v>35.64</v>
      </c>
      <c r="F45" s="24"/>
      <c r="G45" s="29">
        <f>ROUND(Source!U28, 7)</f>
        <v>2.4948000000000001</v>
      </c>
      <c r="H45" s="30"/>
      <c r="I45" s="28"/>
      <c r="J45" s="31"/>
      <c r="K45" s="27"/>
      <c r="L45" s="31"/>
    </row>
    <row r="46" spans="1:12" ht="14.25" x14ac:dyDescent="0.2">
      <c r="A46" s="25"/>
      <c r="B46" s="25"/>
      <c r="C46" s="35" t="s">
        <v>351</v>
      </c>
      <c r="D46" s="36" t="s">
        <v>252</v>
      </c>
      <c r="E46" s="37">
        <f>Source!AR28</f>
        <v>22.48</v>
      </c>
      <c r="F46" s="38"/>
      <c r="G46" s="37">
        <f>ROUND(Source!V28, 7)</f>
        <v>1.5736000000000001</v>
      </c>
      <c r="H46" s="39"/>
      <c r="I46" s="40"/>
      <c r="J46" s="41"/>
      <c r="K46" s="42"/>
      <c r="L46" s="41"/>
    </row>
    <row r="47" spans="1:12" ht="14.25" x14ac:dyDescent="0.2">
      <c r="A47" s="25"/>
      <c r="B47" s="25"/>
      <c r="C47" s="25" t="s">
        <v>352</v>
      </c>
      <c r="D47" s="26"/>
      <c r="E47" s="29"/>
      <c r="F47" s="24"/>
      <c r="G47" s="29"/>
      <c r="H47" s="30">
        <f>H39+H40+H42</f>
        <v>3968.0799999999995</v>
      </c>
      <c r="I47" s="28"/>
      <c r="J47" s="31">
        <f>J39+J40+J42</f>
        <v>277</v>
      </c>
      <c r="K47" s="27"/>
      <c r="L47" s="31"/>
    </row>
    <row r="48" spans="1:12" ht="14.25" x14ac:dyDescent="0.2">
      <c r="A48" s="25"/>
      <c r="B48" s="25"/>
      <c r="C48" s="25" t="s">
        <v>353</v>
      </c>
      <c r="D48" s="26"/>
      <c r="E48" s="29"/>
      <c r="F48" s="24"/>
      <c r="G48" s="29"/>
      <c r="H48" s="30"/>
      <c r="I48" s="28"/>
      <c r="J48" s="31">
        <f>SUM(S37:S51)+SUM(T37:T51)+SUM(X37:X51)+SUM(Y37:Y51)</f>
        <v>41</v>
      </c>
      <c r="K48" s="27"/>
      <c r="L48" s="31">
        <f>SUM(AR37:AR51)+SUM(AS37:AS51)+SUM(AT37:AT51)+SUM(AU37:AU51)</f>
        <v>1349</v>
      </c>
    </row>
    <row r="49" spans="1:82" ht="28.5" x14ac:dyDescent="0.2">
      <c r="A49" s="25"/>
      <c r="B49" s="25" t="s">
        <v>23</v>
      </c>
      <c r="C49" s="25" t="s">
        <v>354</v>
      </c>
      <c r="D49" s="26" t="s">
        <v>355</v>
      </c>
      <c r="E49" s="29">
        <f>Source!BZ28</f>
        <v>93</v>
      </c>
      <c r="F49" s="24"/>
      <c r="G49" s="29">
        <f>Source!AT28</f>
        <v>93</v>
      </c>
      <c r="H49" s="30"/>
      <c r="I49" s="28"/>
      <c r="J49" s="31">
        <f>SUM(AD37:AD51)</f>
        <v>38</v>
      </c>
      <c r="K49" s="27"/>
      <c r="L49" s="31">
        <f>SUM(AZ37:AZ51)</f>
        <v>1255</v>
      </c>
    </row>
    <row r="50" spans="1:82" ht="28.5" x14ac:dyDescent="0.2">
      <c r="A50" s="35"/>
      <c r="B50" s="35" t="s">
        <v>24</v>
      </c>
      <c r="C50" s="35" t="s">
        <v>356</v>
      </c>
      <c r="D50" s="36" t="s">
        <v>355</v>
      </c>
      <c r="E50" s="37">
        <f>Source!CA28</f>
        <v>62</v>
      </c>
      <c r="F50" s="38"/>
      <c r="G50" s="37">
        <f>Source!AU28</f>
        <v>62</v>
      </c>
      <c r="H50" s="39"/>
      <c r="I50" s="40"/>
      <c r="J50" s="41">
        <f>SUM(AE37:AE51)</f>
        <v>25</v>
      </c>
      <c r="K50" s="42"/>
      <c r="L50" s="41">
        <f>SUM(BA37:BA51)</f>
        <v>836</v>
      </c>
    </row>
    <row r="51" spans="1:82" ht="15" x14ac:dyDescent="0.25">
      <c r="C51" s="88" t="s">
        <v>357</v>
      </c>
      <c r="D51" s="88"/>
      <c r="E51" s="88"/>
      <c r="F51" s="88"/>
      <c r="G51" s="88"/>
      <c r="H51" s="88"/>
      <c r="I51" s="89">
        <f>J39+J40+J42+J49+J50</f>
        <v>340</v>
      </c>
      <c r="J51" s="89"/>
      <c r="O51" s="43">
        <f>J39+J40+J42+J49+J50</f>
        <v>340</v>
      </c>
      <c r="P51" s="43">
        <f>J40</f>
        <v>240</v>
      </c>
      <c r="R51" t="s">
        <v>358</v>
      </c>
      <c r="S51" s="43">
        <f>J39</f>
        <v>21</v>
      </c>
      <c r="U51" s="43">
        <f>J39</f>
        <v>21</v>
      </c>
      <c r="X51" s="43">
        <f>J41</f>
        <v>20</v>
      </c>
      <c r="Z51" t="s">
        <v>358</v>
      </c>
      <c r="AA51" s="43">
        <f>J42</f>
        <v>16</v>
      </c>
      <c r="AD51">
        <f>Source!X28</f>
        <v>38</v>
      </c>
      <c r="AE51">
        <f>Source!Y28</f>
        <v>25</v>
      </c>
      <c r="AN51" s="43">
        <f>L39+L40+L42+L49+L50</f>
        <v>2782</v>
      </c>
      <c r="AO51" s="43">
        <f>L40</f>
        <v>0</v>
      </c>
      <c r="AQ51" t="s">
        <v>358</v>
      </c>
      <c r="AR51" s="43">
        <f>L39</f>
        <v>691</v>
      </c>
      <c r="AT51" s="43">
        <f>L41</f>
        <v>658</v>
      </c>
      <c r="AV51" t="s">
        <v>358</v>
      </c>
      <c r="AW51" s="43">
        <f>L42</f>
        <v>0</v>
      </c>
      <c r="AZ51">
        <f>Source!HK28</f>
        <v>1255</v>
      </c>
      <c r="BA51">
        <f>Source!HL28</f>
        <v>836</v>
      </c>
      <c r="BH51" s="43">
        <f>J39+J40+J42+J49+J50</f>
        <v>340</v>
      </c>
      <c r="CD51">
        <v>1</v>
      </c>
    </row>
    <row r="52" spans="1:82" ht="42.75" x14ac:dyDescent="0.2">
      <c r="A52" s="23" t="s">
        <v>33</v>
      </c>
      <c r="B52" s="25" t="str">
        <f>Source!F31</f>
        <v>23.3.08.01-0043</v>
      </c>
      <c r="C52" s="25" t="str">
        <f>Source!G31</f>
        <v>Трубы стальные квадратные (ГОСТ 8639-82) размером: 50х50 мм, толщина стенки 3,5 мм</v>
      </c>
      <c r="D52" s="26" t="str">
        <f>Source!H31</f>
        <v>м</v>
      </c>
      <c r="E52" s="29">
        <f>Source!K31</f>
        <v>21</v>
      </c>
      <c r="F52" s="24"/>
      <c r="G52" s="29">
        <f>Source!I31</f>
        <v>21</v>
      </c>
      <c r="H52" s="30">
        <f>Source!AL31</f>
        <v>41.02</v>
      </c>
      <c r="I52" s="28"/>
      <c r="J52" s="31">
        <f>ROUND(Source!AC31*Source!I31, 0)</f>
        <v>861</v>
      </c>
      <c r="K52" s="27"/>
      <c r="L52" s="31"/>
    </row>
    <row r="53" spans="1:82" x14ac:dyDescent="0.2">
      <c r="A53" s="44"/>
      <c r="B53" s="44"/>
      <c r="C53" s="45" t="str">
        <f>"Объем: "&amp;Source!I31&amp;"=3*"&amp;"7"</f>
        <v>Объем: 21=3*7</v>
      </c>
      <c r="D53" s="44"/>
      <c r="E53" s="44"/>
      <c r="F53" s="44"/>
      <c r="G53" s="44"/>
      <c r="H53" s="44"/>
      <c r="I53" s="44"/>
      <c r="J53" s="44"/>
      <c r="K53" s="44"/>
      <c r="L53" s="44"/>
    </row>
    <row r="54" spans="1:82" ht="15" x14ac:dyDescent="0.25">
      <c r="C54" s="88" t="s">
        <v>357</v>
      </c>
      <c r="D54" s="88"/>
      <c r="E54" s="88"/>
      <c r="F54" s="88"/>
      <c r="G54" s="88"/>
      <c r="H54" s="88"/>
      <c r="I54" s="89">
        <f>J52</f>
        <v>861</v>
      </c>
      <c r="J54" s="89"/>
      <c r="O54" s="43">
        <f>J52</f>
        <v>861</v>
      </c>
      <c r="P54">
        <f>0</f>
        <v>0</v>
      </c>
      <c r="R54" t="s">
        <v>358</v>
      </c>
      <c r="S54">
        <f>0</f>
        <v>0</v>
      </c>
      <c r="U54">
        <f>0</f>
        <v>0</v>
      </c>
      <c r="X54">
        <f>0</f>
        <v>0</v>
      </c>
      <c r="Z54" t="s">
        <v>358</v>
      </c>
      <c r="AA54" s="43">
        <f>J52</f>
        <v>861</v>
      </c>
      <c r="AD54">
        <f>Source!X31</f>
        <v>0</v>
      </c>
      <c r="AE54">
        <f>Source!Y31</f>
        <v>0</v>
      </c>
      <c r="AZ54">
        <f>Source!HK31</f>
        <v>0</v>
      </c>
      <c r="BA54">
        <f>Source!HL31</f>
        <v>0</v>
      </c>
      <c r="BH54" s="43">
        <f>J52</f>
        <v>861</v>
      </c>
      <c r="CD54">
        <v>1</v>
      </c>
    </row>
    <row r="55" spans="1:82" ht="28.5" x14ac:dyDescent="0.2">
      <c r="A55" s="23" t="s">
        <v>41</v>
      </c>
      <c r="B55" s="25" t="str">
        <f>Source!F32</f>
        <v>04.1.02.05-0004</v>
      </c>
      <c r="C55" s="25" t="str">
        <f>Source!G32</f>
        <v>Смеси бетонные тяжелого бетона (БСТ), класс В10 (М150)</v>
      </c>
      <c r="D55" s="26" t="str">
        <f>Source!H32</f>
        <v>м3</v>
      </c>
      <c r="E55" s="29">
        <f>Source!K32</f>
        <v>0.44379999999999997</v>
      </c>
      <c r="F55" s="24"/>
      <c r="G55" s="29">
        <f>Source!I32</f>
        <v>0.44379999999999997</v>
      </c>
      <c r="H55" s="30">
        <f>Source!AL32</f>
        <v>490</v>
      </c>
      <c r="I55" s="28"/>
      <c r="J55" s="31">
        <f>ROUND(Source!AC32*Source!I32, 0)</f>
        <v>217</v>
      </c>
      <c r="K55" s="27"/>
      <c r="L55" s="31"/>
    </row>
    <row r="56" spans="1:82" x14ac:dyDescent="0.2">
      <c r="A56" s="44"/>
      <c r="B56" s="44"/>
      <c r="C56" s="45" t="str">
        <f>"Объем: "&amp;Source!I32&amp;"=6,34*"&amp;"0,07"</f>
        <v>Объем: 0,4438=6,34*0,07</v>
      </c>
      <c r="D56" s="44"/>
      <c r="E56" s="44"/>
      <c r="F56" s="44"/>
      <c r="G56" s="44"/>
      <c r="H56" s="44"/>
      <c r="I56" s="44"/>
      <c r="J56" s="44"/>
      <c r="K56" s="44"/>
      <c r="L56" s="44"/>
    </row>
    <row r="57" spans="1:82" ht="15" x14ac:dyDescent="0.25">
      <c r="C57" s="88" t="s">
        <v>357</v>
      </c>
      <c r="D57" s="88"/>
      <c r="E57" s="88"/>
      <c r="F57" s="88"/>
      <c r="G57" s="88"/>
      <c r="H57" s="88"/>
      <c r="I57" s="89">
        <f>J55</f>
        <v>217</v>
      </c>
      <c r="J57" s="89"/>
      <c r="O57" s="43">
        <f>J55</f>
        <v>217</v>
      </c>
      <c r="P57">
        <f>0</f>
        <v>0</v>
      </c>
      <c r="R57" t="s">
        <v>358</v>
      </c>
      <c r="S57">
        <f>0</f>
        <v>0</v>
      </c>
      <c r="U57">
        <f>0</f>
        <v>0</v>
      </c>
      <c r="X57">
        <f>0</f>
        <v>0</v>
      </c>
      <c r="Z57" t="s">
        <v>358</v>
      </c>
      <c r="AA57" s="43">
        <f>J55</f>
        <v>217</v>
      </c>
      <c r="AD57">
        <f>Source!X32</f>
        <v>0</v>
      </c>
      <c r="AE57">
        <f>Source!Y32</f>
        <v>0</v>
      </c>
      <c r="AZ57">
        <f>Source!HK32</f>
        <v>0</v>
      </c>
      <c r="BA57">
        <f>Source!HL32</f>
        <v>0</v>
      </c>
      <c r="BH57" s="43">
        <f>J55</f>
        <v>217</v>
      </c>
      <c r="CD57">
        <v>1</v>
      </c>
    </row>
    <row r="58" spans="1:82" ht="42.75" x14ac:dyDescent="0.2">
      <c r="A58" s="23" t="s">
        <v>45</v>
      </c>
      <c r="B58" s="25" t="str">
        <f>Source!F33</f>
        <v>10-01-070-05</v>
      </c>
      <c r="C58" s="25" t="str">
        <f>Source!G33</f>
        <v>Применительно. Устройство заборов (при установленных столбах): глухих (ограждение беседки)</v>
      </c>
      <c r="D58" s="26" t="str">
        <f>Source!H33</f>
        <v>100 м2</v>
      </c>
      <c r="E58" s="29">
        <f>Source!K33</f>
        <v>0.34499999999999997</v>
      </c>
      <c r="F58" s="24"/>
      <c r="G58" s="29">
        <f>Source!I33</f>
        <v>0.34499999999999997</v>
      </c>
      <c r="H58" s="30"/>
      <c r="I58" s="28"/>
      <c r="J58" s="31"/>
      <c r="K58" s="27"/>
      <c r="L58" s="31"/>
    </row>
    <row r="59" spans="1:82" x14ac:dyDescent="0.2">
      <c r="C59" s="32" t="str">
        <f>"Объем: "&amp;Source!I33&amp;"=3*"&amp;"5*"&amp;"2,3/"&amp;"100"</f>
        <v>Объем: 0,345=3*5*2,3/100</v>
      </c>
    </row>
    <row r="60" spans="1:82" ht="14.25" x14ac:dyDescent="0.2">
      <c r="A60" s="25"/>
      <c r="B60" s="33">
        <v>1</v>
      </c>
      <c r="C60" s="25" t="s">
        <v>174</v>
      </c>
      <c r="D60" s="26"/>
      <c r="E60" s="29"/>
      <c r="F60" s="24"/>
      <c r="G60" s="29"/>
      <c r="H60" s="30">
        <f>Source!AO33</f>
        <v>1237.8599999999999</v>
      </c>
      <c r="I60" s="28"/>
      <c r="J60" s="31">
        <f>ROUND(Source!AF33*Source!I33, 0)</f>
        <v>427</v>
      </c>
      <c r="K60" s="27">
        <f>IF(Source!BA33&lt;&gt; 0, Source!BA33, 1)</f>
        <v>32.909999999999997</v>
      </c>
      <c r="L60" s="31">
        <f>Source!HJ33</f>
        <v>14053</v>
      </c>
    </row>
    <row r="61" spans="1:82" ht="14.25" x14ac:dyDescent="0.2">
      <c r="A61" s="25"/>
      <c r="B61" s="33">
        <v>2</v>
      </c>
      <c r="C61" s="25" t="s">
        <v>348</v>
      </c>
      <c r="D61" s="26"/>
      <c r="E61" s="29"/>
      <c r="F61" s="24"/>
      <c r="G61" s="29"/>
      <c r="H61" s="30">
        <f>Source!AM33</f>
        <v>557.67999999999995</v>
      </c>
      <c r="I61" s="28"/>
      <c r="J61" s="31">
        <f>ROUND(Source!AD33*Source!I33, 0)</f>
        <v>192</v>
      </c>
      <c r="K61" s="27"/>
      <c r="L61" s="31"/>
    </row>
    <row r="62" spans="1:82" ht="14.25" x14ac:dyDescent="0.2">
      <c r="A62" s="25"/>
      <c r="B62" s="33">
        <v>3</v>
      </c>
      <c r="C62" s="25" t="s">
        <v>349</v>
      </c>
      <c r="D62" s="26"/>
      <c r="E62" s="29"/>
      <c r="F62" s="24"/>
      <c r="G62" s="29"/>
      <c r="H62" s="30">
        <f>Source!AN33</f>
        <v>68.489999999999995</v>
      </c>
      <c r="I62" s="28"/>
      <c r="J62" s="34">
        <f>ROUND(Source!AE33*Source!I33, 0)</f>
        <v>23</v>
      </c>
      <c r="K62" s="27">
        <f>IF(Source!BS33&lt;&gt; 0, Source!BS33, 1)</f>
        <v>32.909999999999997</v>
      </c>
      <c r="L62" s="34">
        <f>Source!HI33</f>
        <v>757</v>
      </c>
    </row>
    <row r="63" spans="1:82" ht="14.25" x14ac:dyDescent="0.2">
      <c r="A63" s="25"/>
      <c r="B63" s="33">
        <v>4</v>
      </c>
      <c r="C63" s="25" t="s">
        <v>177</v>
      </c>
      <c r="D63" s="26"/>
      <c r="E63" s="29"/>
      <c r="F63" s="24"/>
      <c r="G63" s="29"/>
      <c r="H63" s="30">
        <f>Source!AL33</f>
        <v>6042.49</v>
      </c>
      <c r="I63" s="28"/>
      <c r="J63" s="31">
        <f>ROUND(Source!AC33*Source!I33, 0)</f>
        <v>2084</v>
      </c>
      <c r="K63" s="27"/>
      <c r="L63" s="31"/>
    </row>
    <row r="64" spans="1:82" ht="14.25" x14ac:dyDescent="0.2">
      <c r="A64" s="25"/>
      <c r="B64" s="25"/>
      <c r="C64" s="25" t="s">
        <v>350</v>
      </c>
      <c r="D64" s="26" t="s">
        <v>252</v>
      </c>
      <c r="E64" s="29">
        <f>Source!AQ33</f>
        <v>138</v>
      </c>
      <c r="F64" s="24"/>
      <c r="G64" s="29">
        <f>ROUND(Source!U33, 7)</f>
        <v>47.61</v>
      </c>
      <c r="H64" s="30"/>
      <c r="I64" s="28"/>
      <c r="J64" s="31"/>
      <c r="K64" s="27"/>
      <c r="L64" s="31"/>
    </row>
    <row r="65" spans="1:82" ht="14.25" x14ac:dyDescent="0.2">
      <c r="A65" s="25"/>
      <c r="B65" s="25"/>
      <c r="C65" s="35" t="s">
        <v>351</v>
      </c>
      <c r="D65" s="36" t="s">
        <v>252</v>
      </c>
      <c r="E65" s="37">
        <f>Source!AR33</f>
        <v>5.19</v>
      </c>
      <c r="F65" s="38"/>
      <c r="G65" s="37">
        <f>ROUND(Source!V33, 7)</f>
        <v>1.7905500000000001</v>
      </c>
      <c r="H65" s="39"/>
      <c r="I65" s="40"/>
      <c r="J65" s="41"/>
      <c r="K65" s="42"/>
      <c r="L65" s="41"/>
    </row>
    <row r="66" spans="1:82" ht="14.25" x14ac:dyDescent="0.2">
      <c r="A66" s="25"/>
      <c r="B66" s="25"/>
      <c r="C66" s="25" t="s">
        <v>352</v>
      </c>
      <c r="D66" s="26"/>
      <c r="E66" s="29"/>
      <c r="F66" s="24"/>
      <c r="G66" s="29"/>
      <c r="H66" s="30">
        <f>H60+H61+H63</f>
        <v>7838.03</v>
      </c>
      <c r="I66" s="28"/>
      <c r="J66" s="31">
        <f>J60+J61+J63</f>
        <v>2703</v>
      </c>
      <c r="K66" s="27"/>
      <c r="L66" s="31"/>
    </row>
    <row r="67" spans="1:82" ht="14.25" x14ac:dyDescent="0.2">
      <c r="A67" s="25"/>
      <c r="B67" s="25"/>
      <c r="C67" s="25" t="s">
        <v>353</v>
      </c>
      <c r="D67" s="26"/>
      <c r="E67" s="29"/>
      <c r="F67" s="24"/>
      <c r="G67" s="29"/>
      <c r="H67" s="30"/>
      <c r="I67" s="28"/>
      <c r="J67" s="31">
        <f>SUM(S58:S70)+SUM(T58:T70)+SUM(X58:X70)+SUM(Y58:Y70)</f>
        <v>450</v>
      </c>
      <c r="K67" s="27"/>
      <c r="L67" s="31">
        <f>SUM(AR58:AR70)+SUM(AS58:AS70)+SUM(AT58:AT70)+SUM(AU58:AU70)</f>
        <v>14810</v>
      </c>
    </row>
    <row r="68" spans="1:82" ht="14.25" x14ac:dyDescent="0.2">
      <c r="A68" s="25"/>
      <c r="B68" s="25" t="s">
        <v>52</v>
      </c>
      <c r="C68" s="25" t="s">
        <v>359</v>
      </c>
      <c r="D68" s="26" t="s">
        <v>355</v>
      </c>
      <c r="E68" s="29">
        <f>Source!BZ33</f>
        <v>108</v>
      </c>
      <c r="F68" s="24"/>
      <c r="G68" s="29">
        <f>Source!AT33</f>
        <v>108</v>
      </c>
      <c r="H68" s="30"/>
      <c r="I68" s="28"/>
      <c r="J68" s="31">
        <f>SUM(AD58:AD70)</f>
        <v>486</v>
      </c>
      <c r="K68" s="27"/>
      <c r="L68" s="31">
        <f>SUM(AZ58:AZ70)</f>
        <v>15995</v>
      </c>
    </row>
    <row r="69" spans="1:82" ht="14.25" x14ac:dyDescent="0.2">
      <c r="A69" s="35"/>
      <c r="B69" s="35" t="s">
        <v>53</v>
      </c>
      <c r="C69" s="35" t="s">
        <v>360</v>
      </c>
      <c r="D69" s="36" t="s">
        <v>355</v>
      </c>
      <c r="E69" s="37">
        <f>Source!CA33</f>
        <v>55</v>
      </c>
      <c r="F69" s="38"/>
      <c r="G69" s="37">
        <f>Source!AU33</f>
        <v>55</v>
      </c>
      <c r="H69" s="39"/>
      <c r="I69" s="40"/>
      <c r="J69" s="41">
        <f>SUM(AE58:AE70)</f>
        <v>248</v>
      </c>
      <c r="K69" s="42"/>
      <c r="L69" s="41">
        <f>SUM(BA58:BA70)</f>
        <v>8146</v>
      </c>
    </row>
    <row r="70" spans="1:82" ht="15" x14ac:dyDescent="0.25">
      <c r="C70" s="88" t="s">
        <v>357</v>
      </c>
      <c r="D70" s="88"/>
      <c r="E70" s="88"/>
      <c r="F70" s="88"/>
      <c r="G70" s="88"/>
      <c r="H70" s="88"/>
      <c r="I70" s="89">
        <f>J60+J61+J63+J68+J69</f>
        <v>3437</v>
      </c>
      <c r="J70" s="89"/>
      <c r="O70" s="43">
        <f>J60+J61+J63+J68+J69</f>
        <v>3437</v>
      </c>
      <c r="P70" s="43">
        <f>J61</f>
        <v>192</v>
      </c>
      <c r="R70" t="s">
        <v>358</v>
      </c>
      <c r="S70" s="43">
        <f>J60</f>
        <v>427</v>
      </c>
      <c r="U70" s="43">
        <f>J60</f>
        <v>427</v>
      </c>
      <c r="X70" s="43">
        <f>J62</f>
        <v>23</v>
      </c>
      <c r="Z70" t="s">
        <v>358</v>
      </c>
      <c r="AA70" s="43">
        <f>J63</f>
        <v>2084</v>
      </c>
      <c r="AD70">
        <f>Source!X33</f>
        <v>486</v>
      </c>
      <c r="AE70">
        <f>Source!Y33</f>
        <v>248</v>
      </c>
      <c r="AN70" s="43">
        <f>L60+L61+L63+L68+L69</f>
        <v>38194</v>
      </c>
      <c r="AO70" s="43">
        <f>L61</f>
        <v>0</v>
      </c>
      <c r="AQ70" t="s">
        <v>358</v>
      </c>
      <c r="AR70" s="43">
        <f>L60</f>
        <v>14053</v>
      </c>
      <c r="AT70" s="43">
        <f>L62</f>
        <v>757</v>
      </c>
      <c r="AV70" t="s">
        <v>358</v>
      </c>
      <c r="AW70" s="43">
        <f>L63</f>
        <v>0</v>
      </c>
      <c r="AZ70">
        <f>Source!HK33</f>
        <v>15995</v>
      </c>
      <c r="BA70">
        <f>Source!HL33</f>
        <v>8146</v>
      </c>
      <c r="BH70" s="43">
        <f>J60+J61+J63+J68+J69</f>
        <v>3437</v>
      </c>
      <c r="CD70">
        <v>1</v>
      </c>
    </row>
    <row r="71" spans="1:82" ht="42.75" x14ac:dyDescent="0.2">
      <c r="A71" s="23" t="s">
        <v>54</v>
      </c>
      <c r="B71" s="25" t="str">
        <f>Source!F34</f>
        <v>11.1.03.01-0078</v>
      </c>
      <c r="C71" s="25" t="str">
        <f>Source!G34</f>
        <v>Бруски обрезные, хвойных пород, длина 4-6,5 м, ширина 75-150 мм, толщина 40-75 мм, сорт II</v>
      </c>
      <c r="D71" s="26" t="str">
        <f>Source!H34</f>
        <v>м3</v>
      </c>
      <c r="E71" s="29">
        <f>Source!K34</f>
        <v>-0.34844999999999998</v>
      </c>
      <c r="F71" s="24"/>
      <c r="G71" s="29">
        <f>Source!I34</f>
        <v>-0.34844999999999998</v>
      </c>
      <c r="H71" s="30">
        <f>Source!AL34</f>
        <v>1601</v>
      </c>
      <c r="I71" s="28"/>
      <c r="J71" s="31">
        <f>ROUND(Source!AC34*Source!I34, 0)</f>
        <v>-558</v>
      </c>
      <c r="K71" s="27"/>
      <c r="L71" s="31"/>
    </row>
    <row r="72" spans="1:82" x14ac:dyDescent="0.2">
      <c r="A72" s="44"/>
      <c r="B72" s="44"/>
      <c r="C72" s="45" t="str">
        <f>"Объем: "&amp;Source!I34&amp;"="&amp;Source!I33&amp;"*"&amp;"-"&amp;"1,01"</f>
        <v>Объем: -0,34845=0,345*-1,01</v>
      </c>
      <c r="D72" s="44"/>
      <c r="E72" s="44"/>
      <c r="F72" s="44"/>
      <c r="G72" s="44"/>
      <c r="H72" s="44"/>
      <c r="I72" s="44"/>
      <c r="J72" s="44"/>
      <c r="K72" s="44"/>
      <c r="L72" s="44"/>
    </row>
    <row r="73" spans="1:82" ht="15" x14ac:dyDescent="0.25">
      <c r="C73" s="88" t="s">
        <v>357</v>
      </c>
      <c r="D73" s="88"/>
      <c r="E73" s="88"/>
      <c r="F73" s="88"/>
      <c r="G73" s="88"/>
      <c r="H73" s="88"/>
      <c r="I73" s="89">
        <f>J71</f>
        <v>-558</v>
      </c>
      <c r="J73" s="89"/>
      <c r="O73" s="43">
        <f>J71</f>
        <v>-558</v>
      </c>
      <c r="P73">
        <f>0</f>
        <v>0</v>
      </c>
      <c r="R73" t="s">
        <v>358</v>
      </c>
      <c r="S73">
        <f>0</f>
        <v>0</v>
      </c>
      <c r="U73">
        <f>0</f>
        <v>0</v>
      </c>
      <c r="X73">
        <f>0</f>
        <v>0</v>
      </c>
      <c r="Z73" t="s">
        <v>358</v>
      </c>
      <c r="AA73" s="43">
        <f>J71</f>
        <v>-558</v>
      </c>
      <c r="AD73">
        <f>Source!X34</f>
        <v>0</v>
      </c>
      <c r="AE73">
        <f>Source!Y34</f>
        <v>0</v>
      </c>
      <c r="AZ73">
        <f>Source!HK34</f>
        <v>0</v>
      </c>
      <c r="BA73">
        <f>Source!HL34</f>
        <v>0</v>
      </c>
      <c r="BH73" s="43">
        <f>J71</f>
        <v>-558</v>
      </c>
      <c r="CD73">
        <v>1</v>
      </c>
    </row>
    <row r="74" spans="1:82" ht="42.75" x14ac:dyDescent="0.2">
      <c r="A74" s="23" t="s">
        <v>58</v>
      </c>
      <c r="B74" s="25" t="str">
        <f>Source!F35</f>
        <v>11.1.03.06-0091</v>
      </c>
      <c r="C74" s="25" t="str">
        <f>Source!G35</f>
        <v>Доска обрезная, хвойных пород, ширина 75-150 мм, толщина 32-40 мм, длина 4-6,5 м, сорт III</v>
      </c>
      <c r="D74" s="26" t="str">
        <f>Source!H35</f>
        <v>м3</v>
      </c>
      <c r="E74" s="29">
        <f>Source!K35</f>
        <v>-0.27600000000000002</v>
      </c>
      <c r="F74" s="24"/>
      <c r="G74" s="29">
        <f>Source!I35</f>
        <v>-0.27600000000000002</v>
      </c>
      <c r="H74" s="30">
        <f>Source!AL35</f>
        <v>1155</v>
      </c>
      <c r="I74" s="28"/>
      <c r="J74" s="31">
        <f>ROUND(Source!AC35*Source!I35, 0)</f>
        <v>-319</v>
      </c>
      <c r="K74" s="27"/>
      <c r="L74" s="31"/>
    </row>
    <row r="75" spans="1:82" x14ac:dyDescent="0.2">
      <c r="A75" s="44"/>
      <c r="B75" s="44"/>
      <c r="C75" s="45" t="str">
        <f>"Объем: "&amp;Source!I35&amp;"="&amp;Source!I33&amp;"*"&amp;"-"&amp;"0,8"</f>
        <v>Объем: -0,276=0,345*-0,8</v>
      </c>
      <c r="D75" s="44"/>
      <c r="E75" s="44"/>
      <c r="F75" s="44"/>
      <c r="G75" s="44"/>
      <c r="H75" s="44"/>
      <c r="I75" s="44"/>
      <c r="J75" s="44"/>
      <c r="K75" s="44"/>
      <c r="L75" s="44"/>
    </row>
    <row r="76" spans="1:82" ht="15" x14ac:dyDescent="0.25">
      <c r="C76" s="88" t="s">
        <v>357</v>
      </c>
      <c r="D76" s="88"/>
      <c r="E76" s="88"/>
      <c r="F76" s="88"/>
      <c r="G76" s="88"/>
      <c r="H76" s="88"/>
      <c r="I76" s="89">
        <f>J74</f>
        <v>-319</v>
      </c>
      <c r="J76" s="89"/>
      <c r="O76" s="43">
        <f>J74</f>
        <v>-319</v>
      </c>
      <c r="P76">
        <f>0</f>
        <v>0</v>
      </c>
      <c r="R76" t="s">
        <v>358</v>
      </c>
      <c r="S76">
        <f>0</f>
        <v>0</v>
      </c>
      <c r="U76">
        <f>0</f>
        <v>0</v>
      </c>
      <c r="X76">
        <f>0</f>
        <v>0</v>
      </c>
      <c r="Z76" t="s">
        <v>358</v>
      </c>
      <c r="AA76" s="43">
        <f>J74</f>
        <v>-319</v>
      </c>
      <c r="AD76">
        <f>Source!X35</f>
        <v>0</v>
      </c>
      <c r="AE76">
        <f>Source!Y35</f>
        <v>0</v>
      </c>
      <c r="AZ76">
        <f>Source!HK35</f>
        <v>0</v>
      </c>
      <c r="BA76">
        <f>Source!HL35</f>
        <v>0</v>
      </c>
      <c r="BH76" s="43">
        <f>J74</f>
        <v>-319</v>
      </c>
      <c r="CD76">
        <v>1</v>
      </c>
    </row>
    <row r="77" spans="1:82" ht="42.75" x14ac:dyDescent="0.2">
      <c r="A77" s="23" t="s">
        <v>62</v>
      </c>
      <c r="B77" s="25" t="str">
        <f>Source!F36</f>
        <v>11.1.03.06-0099</v>
      </c>
      <c r="C77" s="25" t="str">
        <f>Source!G36</f>
        <v>Доска обрезная, хвойных пород, ширина 75-150, мм толщина 19-22 мм, длина 4-6,5 м, сорт III</v>
      </c>
      <c r="D77" s="26" t="str">
        <f>Source!H36</f>
        <v>м3</v>
      </c>
      <c r="E77" s="29">
        <f>Source!K36</f>
        <v>-0.89354999999999996</v>
      </c>
      <c r="F77" s="24"/>
      <c r="G77" s="29">
        <f>Source!I36</f>
        <v>-0.89354999999999996</v>
      </c>
      <c r="H77" s="30">
        <f>Source!AL36</f>
        <v>1242.2</v>
      </c>
      <c r="I77" s="28"/>
      <c r="J77" s="31">
        <f>ROUND(Source!AC36*Source!I36, 0)</f>
        <v>-1110</v>
      </c>
      <c r="K77" s="27"/>
      <c r="L77" s="31"/>
    </row>
    <row r="78" spans="1:82" x14ac:dyDescent="0.2">
      <c r="A78" s="44"/>
      <c r="B78" s="44"/>
      <c r="C78" s="45" t="str">
        <f>"Объем: "&amp;Source!I36&amp;"="&amp;Source!I33&amp;"*"&amp;"-"&amp;"2,59"</f>
        <v>Объем: -0,89355=0,345*-2,59</v>
      </c>
      <c r="D78" s="44"/>
      <c r="E78" s="44"/>
      <c r="F78" s="44"/>
      <c r="G78" s="44"/>
      <c r="H78" s="44"/>
      <c r="I78" s="44"/>
      <c r="J78" s="44"/>
      <c r="K78" s="44"/>
      <c r="L78" s="44"/>
    </row>
    <row r="79" spans="1:82" ht="15" x14ac:dyDescent="0.25">
      <c r="C79" s="88" t="s">
        <v>357</v>
      </c>
      <c r="D79" s="88"/>
      <c r="E79" s="88"/>
      <c r="F79" s="88"/>
      <c r="G79" s="88"/>
      <c r="H79" s="88"/>
      <c r="I79" s="89">
        <f>J77</f>
        <v>-1110</v>
      </c>
      <c r="J79" s="89"/>
      <c r="O79" s="43">
        <f>J77</f>
        <v>-1110</v>
      </c>
      <c r="P79">
        <f>0</f>
        <v>0</v>
      </c>
      <c r="R79" t="s">
        <v>358</v>
      </c>
      <c r="S79">
        <f>0</f>
        <v>0</v>
      </c>
      <c r="U79">
        <f>0</f>
        <v>0</v>
      </c>
      <c r="X79">
        <f>0</f>
        <v>0</v>
      </c>
      <c r="Z79" t="s">
        <v>358</v>
      </c>
      <c r="AA79" s="43">
        <f>J77</f>
        <v>-1110</v>
      </c>
      <c r="AD79">
        <f>Source!X36</f>
        <v>0</v>
      </c>
      <c r="AE79">
        <f>Source!Y36</f>
        <v>0</v>
      </c>
      <c r="AZ79">
        <f>Source!HK36</f>
        <v>0</v>
      </c>
      <c r="BA79">
        <f>Source!HL36</f>
        <v>0</v>
      </c>
      <c r="BH79" s="43">
        <f>J77</f>
        <v>-1110</v>
      </c>
      <c r="CD79">
        <v>1</v>
      </c>
    </row>
    <row r="80" spans="1:82" ht="28.5" x14ac:dyDescent="0.2">
      <c r="A80" s="23" t="s">
        <v>66</v>
      </c>
      <c r="B80" s="25" t="str">
        <f>Source!F37</f>
        <v>08.3.09.01-0021</v>
      </c>
      <c r="C80" s="25" t="str">
        <f>Source!G37</f>
        <v>Профилированный лист оцинкованный: НС35-1000-0,7</v>
      </c>
      <c r="D80" s="26" t="str">
        <f>Source!H37</f>
        <v>т</v>
      </c>
      <c r="E80" s="29">
        <f>Source!K37</f>
        <v>0.13320000000000001</v>
      </c>
      <c r="F80" s="24"/>
      <c r="G80" s="29">
        <f>Source!I37</f>
        <v>0.13320000000000001</v>
      </c>
      <c r="H80" s="30">
        <f>Source!AL37</f>
        <v>9771.14</v>
      </c>
      <c r="I80" s="28"/>
      <c r="J80" s="31">
        <f>ROUND(Source!AC37*Source!I37, 0)</f>
        <v>1301</v>
      </c>
      <c r="K80" s="27"/>
      <c r="L80" s="31"/>
    </row>
    <row r="81" spans="1:82" x14ac:dyDescent="0.2">
      <c r="A81" s="44"/>
      <c r="B81" s="44"/>
      <c r="C81" s="45" t="str">
        <f>"Объем: "&amp;Source!I37&amp;"=3*"&amp;"5*"&amp;"1,2*"&amp;"7,4/"&amp;"1000"</f>
        <v>Объем: 0,1332=3*5*1,2*7,4/1000</v>
      </c>
      <c r="D81" s="44"/>
      <c r="E81" s="44"/>
      <c r="F81" s="44"/>
      <c r="G81" s="44"/>
      <c r="H81" s="44"/>
      <c r="I81" s="44"/>
      <c r="J81" s="44"/>
      <c r="K81" s="44"/>
      <c r="L81" s="44"/>
    </row>
    <row r="82" spans="1:82" ht="15" x14ac:dyDescent="0.25">
      <c r="C82" s="88" t="s">
        <v>357</v>
      </c>
      <c r="D82" s="88"/>
      <c r="E82" s="88"/>
      <c r="F82" s="88"/>
      <c r="G82" s="88"/>
      <c r="H82" s="88"/>
      <c r="I82" s="89">
        <f>J80</f>
        <v>1301</v>
      </c>
      <c r="J82" s="89"/>
      <c r="O82" s="43">
        <f>J80</f>
        <v>1301</v>
      </c>
      <c r="P82">
        <f>0</f>
        <v>0</v>
      </c>
      <c r="R82" t="s">
        <v>358</v>
      </c>
      <c r="S82">
        <f>0</f>
        <v>0</v>
      </c>
      <c r="U82">
        <f>0</f>
        <v>0</v>
      </c>
      <c r="X82">
        <f>0</f>
        <v>0</v>
      </c>
      <c r="Z82" t="s">
        <v>358</v>
      </c>
      <c r="AA82" s="43">
        <f>J80</f>
        <v>1301</v>
      </c>
      <c r="AD82">
        <f>Source!X37</f>
        <v>0</v>
      </c>
      <c r="AE82">
        <f>Source!Y37</f>
        <v>0</v>
      </c>
      <c r="AZ82">
        <f>Source!HK37</f>
        <v>0</v>
      </c>
      <c r="BA82">
        <f>Source!HL37</f>
        <v>0</v>
      </c>
      <c r="BH82" s="43">
        <f>J80</f>
        <v>1301</v>
      </c>
      <c r="CD82">
        <v>1</v>
      </c>
    </row>
    <row r="83" spans="1:82" ht="28.5" x14ac:dyDescent="0.2">
      <c r="A83" s="46" t="s">
        <v>71</v>
      </c>
      <c r="B83" s="35" t="str">
        <f>Source!F38</f>
        <v>11.3.03.19-0216</v>
      </c>
      <c r="C83" s="35" t="str">
        <f>Source!G38</f>
        <v>Панель из поликарбоната, сотовая, бесцветная, толщина 10,0 мм</v>
      </c>
      <c r="D83" s="36" t="str">
        <f>Source!H38</f>
        <v>м2</v>
      </c>
      <c r="E83" s="37">
        <f>Source!K38</f>
        <v>16.5</v>
      </c>
      <c r="F83" s="38"/>
      <c r="G83" s="37">
        <f>Source!I38</f>
        <v>16.5</v>
      </c>
      <c r="H83" s="39">
        <f>Source!AL38</f>
        <v>56.6</v>
      </c>
      <c r="I83" s="40"/>
      <c r="J83" s="41">
        <f>ROUND(Source!AC38*Source!I38, 0)</f>
        <v>941</v>
      </c>
      <c r="K83" s="42"/>
      <c r="L83" s="41"/>
    </row>
    <row r="84" spans="1:82" ht="15" x14ac:dyDescent="0.25">
      <c r="C84" s="88" t="s">
        <v>357</v>
      </c>
      <c r="D84" s="88"/>
      <c r="E84" s="88"/>
      <c r="F84" s="88"/>
      <c r="G84" s="88"/>
      <c r="H84" s="88"/>
      <c r="I84" s="89">
        <f>J83</f>
        <v>941</v>
      </c>
      <c r="J84" s="89"/>
      <c r="O84" s="43">
        <f>J83</f>
        <v>941</v>
      </c>
      <c r="P84">
        <f>0</f>
        <v>0</v>
      </c>
      <c r="R84" t="s">
        <v>358</v>
      </c>
      <c r="S84">
        <f>0</f>
        <v>0</v>
      </c>
      <c r="U84">
        <f>0</f>
        <v>0</v>
      </c>
      <c r="X84">
        <f>0</f>
        <v>0</v>
      </c>
      <c r="Z84" t="s">
        <v>358</v>
      </c>
      <c r="AA84" s="43">
        <f>J83</f>
        <v>941</v>
      </c>
      <c r="AD84">
        <f>Source!X38</f>
        <v>0</v>
      </c>
      <c r="AE84">
        <f>Source!Y38</f>
        <v>0</v>
      </c>
      <c r="AZ84">
        <f>Source!HK38</f>
        <v>0</v>
      </c>
      <c r="BA84">
        <f>Source!HL38</f>
        <v>0</v>
      </c>
      <c r="BH84" s="43">
        <f>J83</f>
        <v>941</v>
      </c>
      <c r="CD84">
        <v>1</v>
      </c>
    </row>
    <row r="85" spans="1:82" ht="57" x14ac:dyDescent="0.2">
      <c r="A85" s="23" t="s">
        <v>76</v>
      </c>
      <c r="B85" s="25" t="str">
        <f>Source!F39</f>
        <v>09-01-010-01</v>
      </c>
      <c r="C85" s="25" t="str">
        <f>Source!G39</f>
        <v>Устройство металлических каркасов зданий из оцинкованных профилей</v>
      </c>
      <c r="D85" s="26" t="str">
        <f>Source!H39</f>
        <v>т металлоконструкций</v>
      </c>
      <c r="E85" s="29">
        <f>Source!K39</f>
        <v>0.10539999999999999</v>
      </c>
      <c r="F85" s="24"/>
      <c r="G85" s="29">
        <f>Source!I39</f>
        <v>0.10539999999999999</v>
      </c>
      <c r="H85" s="30"/>
      <c r="I85" s="28"/>
      <c r="J85" s="31"/>
      <c r="K85" s="27"/>
      <c r="L85" s="31"/>
    </row>
    <row r="86" spans="1:82" x14ac:dyDescent="0.2">
      <c r="C86" s="32" t="str">
        <f>"Объем: "&amp;Source!I39&amp;"=62*"&amp;"1,7/"&amp;"1000"</f>
        <v>Объем: 0,1054=62*1,7/1000</v>
      </c>
    </row>
    <row r="87" spans="1:82" ht="14.25" x14ac:dyDescent="0.2">
      <c r="A87" s="25"/>
      <c r="B87" s="33">
        <v>1</v>
      </c>
      <c r="C87" s="25" t="s">
        <v>174</v>
      </c>
      <c r="D87" s="26"/>
      <c r="E87" s="29"/>
      <c r="F87" s="24"/>
      <c r="G87" s="29"/>
      <c r="H87" s="30">
        <f>Source!AO39</f>
        <v>1047.54</v>
      </c>
      <c r="I87" s="28"/>
      <c r="J87" s="31">
        <f>ROUND(Source!AF39*Source!I39, 0)</f>
        <v>110</v>
      </c>
      <c r="K87" s="27">
        <f>IF(Source!BA39&lt;&gt; 0, Source!BA39, 1)</f>
        <v>32.909999999999997</v>
      </c>
      <c r="L87" s="31">
        <f>Source!HJ39</f>
        <v>3620</v>
      </c>
    </row>
    <row r="88" spans="1:82" ht="14.25" x14ac:dyDescent="0.2">
      <c r="A88" s="25"/>
      <c r="B88" s="33">
        <v>2</v>
      </c>
      <c r="C88" s="25" t="s">
        <v>348</v>
      </c>
      <c r="D88" s="26"/>
      <c r="E88" s="29"/>
      <c r="F88" s="24"/>
      <c r="G88" s="29"/>
      <c r="H88" s="30">
        <f>Source!AM39</f>
        <v>10449.450000000001</v>
      </c>
      <c r="I88" s="28"/>
      <c r="J88" s="31">
        <f>ROUND(Source!AD39*Source!I39, 0)</f>
        <v>1101</v>
      </c>
      <c r="K88" s="27"/>
      <c r="L88" s="31"/>
    </row>
    <row r="89" spans="1:82" ht="14.25" x14ac:dyDescent="0.2">
      <c r="A89" s="25"/>
      <c r="B89" s="33">
        <v>3</v>
      </c>
      <c r="C89" s="25" t="s">
        <v>349</v>
      </c>
      <c r="D89" s="26"/>
      <c r="E89" s="29"/>
      <c r="F89" s="24"/>
      <c r="G89" s="29"/>
      <c r="H89" s="30">
        <f>Source!AN39</f>
        <v>389.8</v>
      </c>
      <c r="I89" s="28"/>
      <c r="J89" s="34">
        <f>ROUND(Source!AE39*Source!I39, 0)</f>
        <v>41</v>
      </c>
      <c r="K89" s="27">
        <f>IF(Source!BS39&lt;&gt; 0, Source!BS39, 1)</f>
        <v>32.909999999999997</v>
      </c>
      <c r="L89" s="34">
        <f>Source!HI39</f>
        <v>1349</v>
      </c>
    </row>
    <row r="90" spans="1:82" ht="14.25" x14ac:dyDescent="0.2">
      <c r="A90" s="25"/>
      <c r="B90" s="33">
        <v>4</v>
      </c>
      <c r="C90" s="25" t="s">
        <v>177</v>
      </c>
      <c r="D90" s="26"/>
      <c r="E90" s="29"/>
      <c r="F90" s="24"/>
      <c r="G90" s="29"/>
      <c r="H90" s="30">
        <f>Source!AL39</f>
        <v>53.54</v>
      </c>
      <c r="I90" s="28"/>
      <c r="J90" s="31">
        <f>ROUND(Source!AC39*Source!I39, 0)</f>
        <v>6</v>
      </c>
      <c r="K90" s="27"/>
      <c r="L90" s="31"/>
    </row>
    <row r="91" spans="1:82" ht="28.5" x14ac:dyDescent="0.2">
      <c r="A91" s="25"/>
      <c r="B91" s="25" t="str">
        <f>EtalonRes!I26</f>
        <v>07.2.07.13</v>
      </c>
      <c r="C91" s="25" t="str">
        <f>EtalonRes!K26</f>
        <v>Конструкции стальные из оцинкованных профилей</v>
      </c>
      <c r="D91" s="26" t="str">
        <f>EtalonRes!O26</f>
        <v>т</v>
      </c>
      <c r="E91" s="29">
        <f>EtalonRes!X26</f>
        <v>0</v>
      </c>
      <c r="F91" s="24"/>
      <c r="G91" s="29">
        <f>ROUND(EtalonRes!AG26*Source!I39, 7)</f>
        <v>0</v>
      </c>
      <c r="H91" s="30"/>
      <c r="I91" s="28"/>
      <c r="J91" s="31"/>
      <c r="K91" s="27"/>
      <c r="L91" s="31"/>
    </row>
    <row r="92" spans="1:82" ht="14.25" x14ac:dyDescent="0.2">
      <c r="A92" s="25"/>
      <c r="B92" s="25"/>
      <c r="C92" s="25" t="s">
        <v>350</v>
      </c>
      <c r="D92" s="26" t="s">
        <v>252</v>
      </c>
      <c r="E92" s="29">
        <f>Source!AQ39</f>
        <v>111.44</v>
      </c>
      <c r="F92" s="24"/>
      <c r="G92" s="29">
        <f>ROUND(Source!U39, 7)</f>
        <v>11.745775999999999</v>
      </c>
      <c r="H92" s="30"/>
      <c r="I92" s="28"/>
      <c r="J92" s="31"/>
      <c r="K92" s="27"/>
      <c r="L92" s="31"/>
    </row>
    <row r="93" spans="1:82" ht="14.25" x14ac:dyDescent="0.2">
      <c r="A93" s="25"/>
      <c r="B93" s="25"/>
      <c r="C93" s="35" t="s">
        <v>351</v>
      </c>
      <c r="D93" s="36" t="s">
        <v>252</v>
      </c>
      <c r="E93" s="37">
        <f>Source!AR39</f>
        <v>21.85</v>
      </c>
      <c r="F93" s="38"/>
      <c r="G93" s="37">
        <f>ROUND(Source!V39, 7)</f>
        <v>2.3029899999999999</v>
      </c>
      <c r="H93" s="39"/>
      <c r="I93" s="40"/>
      <c r="J93" s="41"/>
      <c r="K93" s="42"/>
      <c r="L93" s="41"/>
    </row>
    <row r="94" spans="1:82" ht="14.25" x14ac:dyDescent="0.2">
      <c r="A94" s="25"/>
      <c r="B94" s="25"/>
      <c r="C94" s="25" t="s">
        <v>352</v>
      </c>
      <c r="D94" s="26"/>
      <c r="E94" s="29"/>
      <c r="F94" s="24"/>
      <c r="G94" s="29"/>
      <c r="H94" s="30">
        <f>H87+H88+H90</f>
        <v>11550.530000000002</v>
      </c>
      <c r="I94" s="28"/>
      <c r="J94" s="31">
        <f>J87+J88+J90</f>
        <v>1217</v>
      </c>
      <c r="K94" s="27"/>
      <c r="L94" s="31"/>
    </row>
    <row r="95" spans="1:82" ht="14.25" x14ac:dyDescent="0.2">
      <c r="A95" s="25"/>
      <c r="B95" s="25"/>
      <c r="C95" s="25" t="s">
        <v>353</v>
      </c>
      <c r="D95" s="26"/>
      <c r="E95" s="29"/>
      <c r="F95" s="24"/>
      <c r="G95" s="29"/>
      <c r="H95" s="30"/>
      <c r="I95" s="28"/>
      <c r="J95" s="31">
        <f>SUM(S85:S98)+SUM(T85:T98)+SUM(X85:X98)+SUM(Y85:Y98)</f>
        <v>151</v>
      </c>
      <c r="K95" s="27"/>
      <c r="L95" s="31">
        <f>SUM(AR85:AR98)+SUM(AS85:AS98)+SUM(AT85:AT98)+SUM(AU85:AU98)</f>
        <v>4969</v>
      </c>
    </row>
    <row r="96" spans="1:82" ht="28.5" x14ac:dyDescent="0.2">
      <c r="A96" s="25"/>
      <c r="B96" s="25" t="s">
        <v>23</v>
      </c>
      <c r="C96" s="25" t="s">
        <v>354</v>
      </c>
      <c r="D96" s="26" t="s">
        <v>355</v>
      </c>
      <c r="E96" s="29">
        <f>Source!BZ39</f>
        <v>93</v>
      </c>
      <c r="F96" s="24"/>
      <c r="G96" s="29">
        <f>Source!AT39</f>
        <v>93</v>
      </c>
      <c r="H96" s="30"/>
      <c r="I96" s="28"/>
      <c r="J96" s="31">
        <f>SUM(AD85:AD98)</f>
        <v>140</v>
      </c>
      <c r="K96" s="27"/>
      <c r="L96" s="31">
        <f>SUM(AZ85:AZ98)</f>
        <v>4621</v>
      </c>
    </row>
    <row r="97" spans="1:82" ht="28.5" x14ac:dyDescent="0.2">
      <c r="A97" s="35"/>
      <c r="B97" s="35" t="s">
        <v>24</v>
      </c>
      <c r="C97" s="35" t="s">
        <v>356</v>
      </c>
      <c r="D97" s="36" t="s">
        <v>355</v>
      </c>
      <c r="E97" s="37">
        <f>Source!CA39</f>
        <v>62</v>
      </c>
      <c r="F97" s="38"/>
      <c r="G97" s="37">
        <f>Source!AU39</f>
        <v>62</v>
      </c>
      <c r="H97" s="39"/>
      <c r="I97" s="40"/>
      <c r="J97" s="41">
        <f>SUM(AE85:AE98)</f>
        <v>94</v>
      </c>
      <c r="K97" s="42"/>
      <c r="L97" s="41">
        <f>SUM(BA85:BA98)</f>
        <v>3081</v>
      </c>
    </row>
    <row r="98" spans="1:82" ht="15" x14ac:dyDescent="0.25">
      <c r="C98" s="88" t="s">
        <v>357</v>
      </c>
      <c r="D98" s="88"/>
      <c r="E98" s="88"/>
      <c r="F98" s="88"/>
      <c r="G98" s="88"/>
      <c r="H98" s="88"/>
      <c r="I98" s="89">
        <f>J87+J88+J90+J96+J97</f>
        <v>1451</v>
      </c>
      <c r="J98" s="89"/>
      <c r="O98" s="43">
        <f>J87+J88+J90+J96+J97</f>
        <v>1451</v>
      </c>
      <c r="P98" s="43">
        <f>J88</f>
        <v>1101</v>
      </c>
      <c r="R98" t="s">
        <v>358</v>
      </c>
      <c r="S98" s="43">
        <f>J87</f>
        <v>110</v>
      </c>
      <c r="U98" s="43">
        <f>J87</f>
        <v>110</v>
      </c>
      <c r="X98" s="43">
        <f>J89</f>
        <v>41</v>
      </c>
      <c r="Z98" t="s">
        <v>358</v>
      </c>
      <c r="AA98" s="43">
        <f>J90</f>
        <v>6</v>
      </c>
      <c r="AD98">
        <f>Source!X39</f>
        <v>140</v>
      </c>
      <c r="AE98">
        <f>Source!Y39</f>
        <v>94</v>
      </c>
      <c r="AN98" s="43">
        <f>L87+L88+L90+L96+L97</f>
        <v>11322</v>
      </c>
      <c r="AO98" s="43">
        <f>L88</f>
        <v>0</v>
      </c>
      <c r="AQ98" t="s">
        <v>358</v>
      </c>
      <c r="AR98" s="43">
        <f>L87</f>
        <v>3620</v>
      </c>
      <c r="AT98" s="43">
        <f>L89</f>
        <v>1349</v>
      </c>
      <c r="AV98" t="s">
        <v>358</v>
      </c>
      <c r="AW98" s="43">
        <f>L90</f>
        <v>0</v>
      </c>
      <c r="AZ98">
        <f>Source!HK39</f>
        <v>4621</v>
      </c>
      <c r="BA98">
        <f>Source!HL39</f>
        <v>3081</v>
      </c>
      <c r="BH98" s="43">
        <f>J87+J88+J90+J96+J97</f>
        <v>1451</v>
      </c>
      <c r="CD98">
        <v>1</v>
      </c>
    </row>
    <row r="99" spans="1:82" ht="42.75" x14ac:dyDescent="0.2">
      <c r="A99" s="46" t="s">
        <v>84</v>
      </c>
      <c r="B99" s="35" t="str">
        <f>Source!F41</f>
        <v>23.3.08.02-0066</v>
      </c>
      <c r="C99" s="35" t="str">
        <f>Source!G41</f>
        <v>Трубы стальные прямоугольные (ГОСТ 8645-86) размером: 40х20 мм, толщина стенки 3,0 мм</v>
      </c>
      <c r="D99" s="36" t="str">
        <f>Source!H41</f>
        <v>м</v>
      </c>
      <c r="E99" s="37">
        <f>Source!K41</f>
        <v>62</v>
      </c>
      <c r="F99" s="38"/>
      <c r="G99" s="37">
        <f>Source!I41</f>
        <v>62</v>
      </c>
      <c r="H99" s="39">
        <f>Source!AL41</f>
        <v>17.79</v>
      </c>
      <c r="I99" s="40"/>
      <c r="J99" s="41">
        <f>ROUND(Source!AC41*Source!I41, 0)</f>
        <v>1116</v>
      </c>
      <c r="K99" s="42"/>
      <c r="L99" s="41"/>
    </row>
    <row r="100" spans="1:82" ht="15" x14ac:dyDescent="0.25">
      <c r="C100" s="88" t="s">
        <v>357</v>
      </c>
      <c r="D100" s="88"/>
      <c r="E100" s="88"/>
      <c r="F100" s="88"/>
      <c r="G100" s="88"/>
      <c r="H100" s="88"/>
      <c r="I100" s="89">
        <f>J99</f>
        <v>1116</v>
      </c>
      <c r="J100" s="89"/>
      <c r="O100" s="43">
        <f>J99</f>
        <v>1116</v>
      </c>
      <c r="P100">
        <f>0</f>
        <v>0</v>
      </c>
      <c r="R100" t="s">
        <v>358</v>
      </c>
      <c r="S100">
        <f>0</f>
        <v>0</v>
      </c>
      <c r="U100">
        <f>0</f>
        <v>0</v>
      </c>
      <c r="X100">
        <f>0</f>
        <v>0</v>
      </c>
      <c r="Z100" t="s">
        <v>358</v>
      </c>
      <c r="AA100" s="43">
        <f>J99</f>
        <v>1116</v>
      </c>
      <c r="AD100">
        <f>Source!X41</f>
        <v>0</v>
      </c>
      <c r="AE100">
        <f>Source!Y41</f>
        <v>0</v>
      </c>
      <c r="AZ100">
        <f>Source!HK41</f>
        <v>0</v>
      </c>
      <c r="BA100">
        <f>Source!HL41</f>
        <v>0</v>
      </c>
      <c r="BH100" s="43">
        <f>J99</f>
        <v>1116</v>
      </c>
      <c r="CD100">
        <v>1</v>
      </c>
    </row>
    <row r="101" spans="1:82" ht="57" x14ac:dyDescent="0.2">
      <c r="A101" s="23" t="s">
        <v>88</v>
      </c>
      <c r="B101" s="25" t="str">
        <f>Source!F42</f>
        <v>12-01-033-01</v>
      </c>
      <c r="C101" s="25" t="str">
        <f>Source!G42</f>
        <v>Монтаж кровли из профилированного листа для объектов непроизводственного назначения: простой</v>
      </c>
      <c r="D101" s="26" t="str">
        <f>Source!H42</f>
        <v>100 м2</v>
      </c>
      <c r="E101" s="29">
        <f>Source!K42</f>
        <v>0.18360000000000001</v>
      </c>
      <c r="F101" s="24"/>
      <c r="G101" s="29">
        <f>Source!I42</f>
        <v>0.18360000000000001</v>
      </c>
      <c r="H101" s="30"/>
      <c r="I101" s="28"/>
      <c r="J101" s="31"/>
      <c r="K101" s="27"/>
      <c r="L101" s="31"/>
    </row>
    <row r="102" spans="1:82" x14ac:dyDescent="0.2">
      <c r="C102" s="32" t="str">
        <f>"Объем: "&amp;Source!I42&amp;"=18,36/"&amp;"100"</f>
        <v>Объем: 0,1836=18,36/100</v>
      </c>
    </row>
    <row r="103" spans="1:82" ht="14.25" x14ac:dyDescent="0.2">
      <c r="A103" s="25"/>
      <c r="B103" s="33">
        <v>1</v>
      </c>
      <c r="C103" s="25" t="s">
        <v>174</v>
      </c>
      <c r="D103" s="26"/>
      <c r="E103" s="29"/>
      <c r="F103" s="24"/>
      <c r="G103" s="29"/>
      <c r="H103" s="30">
        <f>Source!AO42</f>
        <v>283.18</v>
      </c>
      <c r="I103" s="28"/>
      <c r="J103" s="31">
        <f>ROUND(Source!AF42*Source!I42, 0)</f>
        <v>52</v>
      </c>
      <c r="K103" s="27">
        <f>IF(Source!BA42&lt;&gt; 0, Source!BA42, 1)</f>
        <v>32.909999999999997</v>
      </c>
      <c r="L103" s="31">
        <f>Source!HJ42</f>
        <v>1711</v>
      </c>
    </row>
    <row r="104" spans="1:82" ht="14.25" x14ac:dyDescent="0.2">
      <c r="A104" s="25"/>
      <c r="B104" s="33">
        <v>2</v>
      </c>
      <c r="C104" s="25" t="s">
        <v>348</v>
      </c>
      <c r="D104" s="26"/>
      <c r="E104" s="29"/>
      <c r="F104" s="24"/>
      <c r="G104" s="29"/>
      <c r="H104" s="30">
        <f>Source!AM42</f>
        <v>28.03</v>
      </c>
      <c r="I104" s="28"/>
      <c r="J104" s="31">
        <f>ROUND(Source!AD42*Source!I42, 0)</f>
        <v>5</v>
      </c>
      <c r="K104" s="27"/>
      <c r="L104" s="31"/>
    </row>
    <row r="105" spans="1:82" ht="14.25" x14ac:dyDescent="0.2">
      <c r="A105" s="25"/>
      <c r="B105" s="33">
        <v>3</v>
      </c>
      <c r="C105" s="25" t="s">
        <v>349</v>
      </c>
      <c r="D105" s="26"/>
      <c r="E105" s="29"/>
      <c r="F105" s="24"/>
      <c r="G105" s="29"/>
      <c r="H105" s="30">
        <f>Source!AN42</f>
        <v>4.04</v>
      </c>
      <c r="I105" s="28"/>
      <c r="J105" s="34">
        <f>ROUND(Source!AE42*Source!I42, 0)</f>
        <v>1</v>
      </c>
      <c r="K105" s="27">
        <f>IF(Source!BS42&lt;&gt; 0, Source!BS42, 1)</f>
        <v>32.909999999999997</v>
      </c>
      <c r="L105" s="34">
        <f>Source!HI42</f>
        <v>33</v>
      </c>
    </row>
    <row r="106" spans="1:82" ht="14.25" x14ac:dyDescent="0.2">
      <c r="A106" s="25"/>
      <c r="B106" s="33">
        <v>4</v>
      </c>
      <c r="C106" s="25" t="s">
        <v>177</v>
      </c>
      <c r="D106" s="26"/>
      <c r="E106" s="29"/>
      <c r="F106" s="24"/>
      <c r="G106" s="29"/>
      <c r="H106" s="30">
        <f>Source!AL42</f>
        <v>57.28</v>
      </c>
      <c r="I106" s="28"/>
      <c r="J106" s="31">
        <f>ROUND(Source!AC42*Source!I42, 0)</f>
        <v>10</v>
      </c>
      <c r="K106" s="27"/>
      <c r="L106" s="31"/>
    </row>
    <row r="107" spans="1:82" ht="28.5" x14ac:dyDescent="0.2">
      <c r="A107" s="25"/>
      <c r="B107" s="25" t="str">
        <f>EtalonRes!I35</f>
        <v>08.1.02.07</v>
      </c>
      <c r="C107" s="25" t="str">
        <f>EtalonRes!K35</f>
        <v>Дополнительные элементы кровли из профлиста: коньки, разжелобки и проч.</v>
      </c>
      <c r="D107" s="26" t="str">
        <f>EtalonRes!O35</f>
        <v>ШТ</v>
      </c>
      <c r="E107" s="29">
        <f>EtalonRes!X35</f>
        <v>0</v>
      </c>
      <c r="F107" s="24"/>
      <c r="G107" s="29">
        <f>ROUND(EtalonRes!AG35*Source!I42, 7)</f>
        <v>0</v>
      </c>
      <c r="H107" s="30"/>
      <c r="I107" s="28"/>
      <c r="J107" s="31"/>
      <c r="K107" s="27"/>
      <c r="L107" s="31"/>
    </row>
    <row r="108" spans="1:82" ht="28.5" x14ac:dyDescent="0.2">
      <c r="A108" s="25"/>
      <c r="B108" s="25" t="str">
        <f>EtalonRes!I36</f>
        <v>08.3.09.01</v>
      </c>
      <c r="C108" s="25" t="str">
        <f>EtalonRes!K36</f>
        <v>Стальной гнутый профиль (профилированный настил)</v>
      </c>
      <c r="D108" s="26" t="str">
        <f>EtalonRes!O36</f>
        <v>т</v>
      </c>
      <c r="E108" s="29">
        <f>EtalonRes!X36</f>
        <v>0</v>
      </c>
      <c r="F108" s="24"/>
      <c r="G108" s="29">
        <f>ROUND(EtalonRes!AG36*Source!I42, 7)</f>
        <v>0</v>
      </c>
      <c r="H108" s="30"/>
      <c r="I108" s="28"/>
      <c r="J108" s="31"/>
      <c r="K108" s="27"/>
      <c r="L108" s="31"/>
    </row>
    <row r="109" spans="1:82" ht="14.25" x14ac:dyDescent="0.2">
      <c r="A109" s="25"/>
      <c r="B109" s="25"/>
      <c r="C109" s="25" t="s">
        <v>350</v>
      </c>
      <c r="D109" s="26" t="s">
        <v>252</v>
      </c>
      <c r="E109" s="29">
        <f>Source!AQ42</f>
        <v>32.4</v>
      </c>
      <c r="F109" s="24"/>
      <c r="G109" s="29">
        <f>ROUND(Source!U42, 7)</f>
        <v>5.9486400000000001</v>
      </c>
      <c r="H109" s="30"/>
      <c r="I109" s="28"/>
      <c r="J109" s="31"/>
      <c r="K109" s="27"/>
      <c r="L109" s="31"/>
    </row>
    <row r="110" spans="1:82" ht="14.25" x14ac:dyDescent="0.2">
      <c r="A110" s="25"/>
      <c r="B110" s="25"/>
      <c r="C110" s="35" t="s">
        <v>351</v>
      </c>
      <c r="D110" s="36" t="s">
        <v>252</v>
      </c>
      <c r="E110" s="37">
        <f>Source!AR42</f>
        <v>0.32</v>
      </c>
      <c r="F110" s="38"/>
      <c r="G110" s="37">
        <f>ROUND(Source!V42, 7)</f>
        <v>5.8751999999999999E-2</v>
      </c>
      <c r="H110" s="39"/>
      <c r="I110" s="40"/>
      <c r="J110" s="41"/>
      <c r="K110" s="42"/>
      <c r="L110" s="41"/>
    </row>
    <row r="111" spans="1:82" ht="14.25" x14ac:dyDescent="0.2">
      <c r="A111" s="25"/>
      <c r="B111" s="25"/>
      <c r="C111" s="25" t="s">
        <v>352</v>
      </c>
      <c r="D111" s="26"/>
      <c r="E111" s="29"/>
      <c r="F111" s="24"/>
      <c r="G111" s="29"/>
      <c r="H111" s="30">
        <f>H103+H104+H106</f>
        <v>368.49</v>
      </c>
      <c r="I111" s="28"/>
      <c r="J111" s="31">
        <f>J103+J104+J106</f>
        <v>67</v>
      </c>
      <c r="K111" s="27"/>
      <c r="L111" s="31"/>
    </row>
    <row r="112" spans="1:82" ht="42.75" x14ac:dyDescent="0.2">
      <c r="A112" s="23" t="s">
        <v>361</v>
      </c>
      <c r="B112" s="25" t="str">
        <f>Source!F43</f>
        <v>01.7.03.04-0001-3</v>
      </c>
      <c r="C112" s="25" t="str">
        <f>Source!G43</f>
        <v>Затраты на электроэнергию, потребляемую ручным инструментом ( 1 % от ОЗП)</v>
      </c>
      <c r="D112" s="26" t="str">
        <f>Source!H43</f>
        <v>РУБ</v>
      </c>
      <c r="E112" s="29">
        <f>SmtRes!AT29</f>
        <v>2.83</v>
      </c>
      <c r="F112" s="24"/>
      <c r="G112" s="29">
        <f>Source!I43</f>
        <v>0.51958800000000005</v>
      </c>
      <c r="H112" s="30">
        <f>Source!AL43+Source!AO43+Source!AM43</f>
        <v>1</v>
      </c>
      <c r="I112" s="28"/>
      <c r="J112" s="31">
        <f>ROUND(Source!AC43*Source!I43, 0)+ROUND(Source!AD43*Source!I43, 0)+ROUND(Source!AF43*Source!I43, 0)</f>
        <v>1</v>
      </c>
      <c r="K112" s="27"/>
      <c r="L112" s="31"/>
      <c r="O112">
        <f>J112</f>
        <v>1</v>
      </c>
      <c r="AA112">
        <f>J112</f>
        <v>1</v>
      </c>
      <c r="AD112">
        <f>Source!X43</f>
        <v>0</v>
      </c>
      <c r="AE112">
        <f>Source!Y43</f>
        <v>0</v>
      </c>
      <c r="AN112">
        <f>L112</f>
        <v>0</v>
      </c>
      <c r="AW112">
        <f>L112</f>
        <v>0</v>
      </c>
      <c r="AZ112">
        <f>Source!HK43</f>
        <v>0</v>
      </c>
      <c r="BA112">
        <f>Source!HL43</f>
        <v>0</v>
      </c>
      <c r="BH112">
        <f>J112</f>
        <v>1</v>
      </c>
      <c r="CD112">
        <v>1</v>
      </c>
    </row>
    <row r="113" spans="1:82" ht="14.25" x14ac:dyDescent="0.2">
      <c r="A113" s="25"/>
      <c r="B113" s="25"/>
      <c r="C113" s="25" t="s">
        <v>353</v>
      </c>
      <c r="D113" s="26"/>
      <c r="E113" s="29"/>
      <c r="F113" s="24"/>
      <c r="G113" s="29"/>
      <c r="H113" s="30"/>
      <c r="I113" s="28"/>
      <c r="J113" s="31">
        <f>SUM(S101:S116)+SUM(T101:T116)+SUM(X101:X116)+SUM(Y101:Y116)</f>
        <v>53</v>
      </c>
      <c r="K113" s="27"/>
      <c r="L113" s="31">
        <f>SUM(AR101:AR116)+SUM(AS101:AS116)+SUM(AT101:AT116)+SUM(AU101:AU116)</f>
        <v>1744</v>
      </c>
    </row>
    <row r="114" spans="1:82" ht="14.25" x14ac:dyDescent="0.2">
      <c r="A114" s="25"/>
      <c r="B114" s="25" t="s">
        <v>94</v>
      </c>
      <c r="C114" s="25" t="s">
        <v>362</v>
      </c>
      <c r="D114" s="26" t="s">
        <v>355</v>
      </c>
      <c r="E114" s="29">
        <f>Source!BZ42</f>
        <v>109</v>
      </c>
      <c r="F114" s="24"/>
      <c r="G114" s="29">
        <f>Source!AT42</f>
        <v>109</v>
      </c>
      <c r="H114" s="30"/>
      <c r="I114" s="28"/>
      <c r="J114" s="31">
        <f>SUM(AD101:AD116)</f>
        <v>58</v>
      </c>
      <c r="K114" s="27"/>
      <c r="L114" s="31">
        <f>SUM(AZ101:AZ116)</f>
        <v>1901</v>
      </c>
    </row>
    <row r="115" spans="1:82" ht="14.25" x14ac:dyDescent="0.2">
      <c r="A115" s="35"/>
      <c r="B115" s="35" t="s">
        <v>95</v>
      </c>
      <c r="C115" s="35" t="s">
        <v>363</v>
      </c>
      <c r="D115" s="36" t="s">
        <v>355</v>
      </c>
      <c r="E115" s="37">
        <f>Source!CA42</f>
        <v>57</v>
      </c>
      <c r="F115" s="38"/>
      <c r="G115" s="37">
        <f>Source!AU42</f>
        <v>57</v>
      </c>
      <c r="H115" s="39"/>
      <c r="I115" s="40"/>
      <c r="J115" s="41">
        <f>SUM(AE101:AE116)</f>
        <v>30</v>
      </c>
      <c r="K115" s="42"/>
      <c r="L115" s="41">
        <f>SUM(BA101:BA116)</f>
        <v>994</v>
      </c>
    </row>
    <row r="116" spans="1:82" ht="15" x14ac:dyDescent="0.25">
      <c r="C116" s="88" t="s">
        <v>357</v>
      </c>
      <c r="D116" s="88"/>
      <c r="E116" s="88"/>
      <c r="F116" s="88"/>
      <c r="G116" s="88"/>
      <c r="H116" s="88"/>
      <c r="I116" s="89">
        <f>J103+J104+J106+J114+J115+SUM(J112:J112)-SUMIF(CE112:CE112, 1, J112:J112)</f>
        <v>156</v>
      </c>
      <c r="J116" s="89"/>
      <c r="O116" s="43">
        <f>J103+J104+J106+J114+J115</f>
        <v>155</v>
      </c>
      <c r="P116" s="43">
        <f>J104</f>
        <v>5</v>
      </c>
      <c r="R116" t="s">
        <v>358</v>
      </c>
      <c r="S116" s="43">
        <f>J103</f>
        <v>52</v>
      </c>
      <c r="U116" s="43">
        <f>J103</f>
        <v>52</v>
      </c>
      <c r="X116" s="43">
        <f>J105</f>
        <v>1</v>
      </c>
      <c r="Z116" t="s">
        <v>358</v>
      </c>
      <c r="AA116" s="43">
        <f>J106</f>
        <v>10</v>
      </c>
      <c r="AD116">
        <f>Source!X42</f>
        <v>58</v>
      </c>
      <c r="AE116">
        <f>Source!Y42</f>
        <v>30</v>
      </c>
      <c r="AN116" s="43">
        <f>L103+L104+L106+L114+L115</f>
        <v>4606</v>
      </c>
      <c r="AO116" s="43">
        <f>L104</f>
        <v>0</v>
      </c>
      <c r="AQ116" t="s">
        <v>358</v>
      </c>
      <c r="AR116" s="43">
        <f>L103</f>
        <v>1711</v>
      </c>
      <c r="AT116" s="43">
        <f>L105</f>
        <v>33</v>
      </c>
      <c r="AV116" t="s">
        <v>358</v>
      </c>
      <c r="AW116" s="43">
        <f>L106</f>
        <v>0</v>
      </c>
      <c r="AZ116">
        <f>Source!HK42</f>
        <v>1901</v>
      </c>
      <c r="BA116">
        <f>Source!HL42</f>
        <v>994</v>
      </c>
      <c r="BH116" s="43">
        <f>J103+J104+J106+J114+J115</f>
        <v>155</v>
      </c>
      <c r="CD116">
        <v>1</v>
      </c>
    </row>
    <row r="117" spans="1:82" ht="28.5" x14ac:dyDescent="0.2">
      <c r="A117" s="23" t="s">
        <v>107</v>
      </c>
      <c r="B117" s="25" t="str">
        <f>Source!F46</f>
        <v>08.3.09.01-0021</v>
      </c>
      <c r="C117" s="25" t="str">
        <f>Source!G46</f>
        <v>Профилированный лист оцинкованный: НС35-1000-0,7</v>
      </c>
      <c r="D117" s="26" t="str">
        <f>Source!H46</f>
        <v>т</v>
      </c>
      <c r="E117" s="29">
        <f>Source!K46</f>
        <v>0.13586400000000001</v>
      </c>
      <c r="F117" s="24"/>
      <c r="G117" s="29">
        <f>Source!I46</f>
        <v>0.13586400000000001</v>
      </c>
      <c r="H117" s="30">
        <f>Source!AL46</f>
        <v>9771.14</v>
      </c>
      <c r="I117" s="28"/>
      <c r="J117" s="31">
        <f>ROUND(Source!AC46*Source!I46, 0)</f>
        <v>1328</v>
      </c>
      <c r="K117" s="27"/>
      <c r="L117" s="31"/>
    </row>
    <row r="118" spans="1:82" x14ac:dyDescent="0.2">
      <c r="A118" s="44"/>
      <c r="B118" s="44"/>
      <c r="C118" s="45" t="str">
        <f>"Объем: "&amp;Source!I46&amp;"=18,36*"&amp;"7,4/"&amp;"1000"</f>
        <v>Объем: 0,135864=18,36*7,4/1000</v>
      </c>
      <c r="D118" s="44"/>
      <c r="E118" s="44"/>
      <c r="F118" s="44"/>
      <c r="G118" s="44"/>
      <c r="H118" s="44"/>
      <c r="I118" s="44"/>
      <c r="J118" s="44"/>
      <c r="K118" s="44"/>
      <c r="L118" s="44"/>
    </row>
    <row r="119" spans="1:82" ht="15" x14ac:dyDescent="0.25">
      <c r="C119" s="88" t="s">
        <v>357</v>
      </c>
      <c r="D119" s="88"/>
      <c r="E119" s="88"/>
      <c r="F119" s="88"/>
      <c r="G119" s="88"/>
      <c r="H119" s="88"/>
      <c r="I119" s="89">
        <f>J117</f>
        <v>1328</v>
      </c>
      <c r="J119" s="89"/>
      <c r="O119" s="43">
        <f>J117</f>
        <v>1328</v>
      </c>
      <c r="P119">
        <f>0</f>
        <v>0</v>
      </c>
      <c r="R119" t="s">
        <v>358</v>
      </c>
      <c r="S119">
        <f>0</f>
        <v>0</v>
      </c>
      <c r="U119">
        <f>0</f>
        <v>0</v>
      </c>
      <c r="X119">
        <f>0</f>
        <v>0</v>
      </c>
      <c r="Z119" t="s">
        <v>358</v>
      </c>
      <c r="AA119" s="43">
        <f>J117</f>
        <v>1328</v>
      </c>
      <c r="AD119">
        <f>Source!X46</f>
        <v>0</v>
      </c>
      <c r="AE119">
        <f>Source!Y46</f>
        <v>0</v>
      </c>
      <c r="AZ119">
        <f>Source!HK46</f>
        <v>0</v>
      </c>
      <c r="BA119">
        <f>Source!HL46</f>
        <v>0</v>
      </c>
      <c r="BH119" s="43">
        <f>J117</f>
        <v>1328</v>
      </c>
      <c r="CD119">
        <v>1</v>
      </c>
    </row>
    <row r="120" spans="1:82" ht="28.5" x14ac:dyDescent="0.2">
      <c r="A120" s="23" t="s">
        <v>108</v>
      </c>
      <c r="B120" s="25" t="str">
        <f>Source!F47</f>
        <v>10-01-059-01</v>
      </c>
      <c r="C120" s="25" t="str">
        <f>Source!G47</f>
        <v>Установка столов, шкафов под мойки, холодильных шкафов и др.</v>
      </c>
      <c r="D120" s="26" t="str">
        <f>Source!H47</f>
        <v>100 ШТ</v>
      </c>
      <c r="E120" s="29">
        <f>Source!K47</f>
        <v>0.01</v>
      </c>
      <c r="F120" s="24"/>
      <c r="G120" s="29">
        <f>Source!I47</f>
        <v>0.01</v>
      </c>
      <c r="H120" s="30"/>
      <c r="I120" s="28"/>
      <c r="J120" s="31"/>
      <c r="K120" s="27"/>
      <c r="L120" s="31"/>
    </row>
    <row r="121" spans="1:82" x14ac:dyDescent="0.2">
      <c r="C121" s="32" t="str">
        <f>"Объем: "&amp;Source!I47&amp;"=1/"&amp;"100"</f>
        <v>Объем: 0,01=1/100</v>
      </c>
    </row>
    <row r="122" spans="1:82" ht="14.25" x14ac:dyDescent="0.2">
      <c r="A122" s="25"/>
      <c r="B122" s="33">
        <v>1</v>
      </c>
      <c r="C122" s="25" t="s">
        <v>174</v>
      </c>
      <c r="D122" s="26"/>
      <c r="E122" s="29"/>
      <c r="F122" s="24"/>
      <c r="G122" s="29"/>
      <c r="H122" s="30">
        <f>Source!AO47</f>
        <v>542.95000000000005</v>
      </c>
      <c r="I122" s="28"/>
      <c r="J122" s="31">
        <f>ROUND(Source!AF47*Source!I47, 0)</f>
        <v>5</v>
      </c>
      <c r="K122" s="27">
        <f>IF(Source!BA47&lt;&gt; 0, Source!BA47, 1)</f>
        <v>32.909999999999997</v>
      </c>
      <c r="L122" s="31">
        <f>Source!HJ47</f>
        <v>165</v>
      </c>
    </row>
    <row r="123" spans="1:82" ht="14.25" x14ac:dyDescent="0.2">
      <c r="A123" s="25"/>
      <c r="B123" s="33">
        <v>2</v>
      </c>
      <c r="C123" s="25" t="s">
        <v>348</v>
      </c>
      <c r="D123" s="26"/>
      <c r="E123" s="29"/>
      <c r="F123" s="24"/>
      <c r="G123" s="29"/>
      <c r="H123" s="30">
        <f>Source!AM47</f>
        <v>216.38</v>
      </c>
      <c r="I123" s="28"/>
      <c r="J123" s="31">
        <f>ROUND(Source!AD47*Source!I47, 0)</f>
        <v>2</v>
      </c>
      <c r="K123" s="27"/>
      <c r="L123" s="31"/>
    </row>
    <row r="124" spans="1:82" ht="14.25" x14ac:dyDescent="0.2">
      <c r="A124" s="25"/>
      <c r="B124" s="33">
        <v>3</v>
      </c>
      <c r="C124" s="25" t="s">
        <v>349</v>
      </c>
      <c r="D124" s="26"/>
      <c r="E124" s="29"/>
      <c r="F124" s="24"/>
      <c r="G124" s="29"/>
      <c r="H124" s="30">
        <f>Source!AN47</f>
        <v>52.01</v>
      </c>
      <c r="I124" s="28"/>
      <c r="J124" s="34">
        <f>ROUND(Source!AE47*Source!I47, 0)</f>
        <v>1</v>
      </c>
      <c r="K124" s="27">
        <f>IF(Source!BS47&lt;&gt; 0, Source!BS47, 1)</f>
        <v>32.909999999999997</v>
      </c>
      <c r="L124" s="34">
        <f>Source!HI47</f>
        <v>33</v>
      </c>
    </row>
    <row r="125" spans="1:82" ht="14.25" x14ac:dyDescent="0.2">
      <c r="A125" s="25"/>
      <c r="B125" s="33">
        <v>4</v>
      </c>
      <c r="C125" s="25" t="s">
        <v>177</v>
      </c>
      <c r="D125" s="26"/>
      <c r="E125" s="29"/>
      <c r="F125" s="24"/>
      <c r="G125" s="29"/>
      <c r="H125" s="30">
        <f>Source!AL47</f>
        <v>1633.36</v>
      </c>
      <c r="I125" s="28"/>
      <c r="J125" s="31">
        <f>ROUND(Source!AC47*Source!I47, 0)</f>
        <v>16</v>
      </c>
      <c r="K125" s="27"/>
      <c r="L125" s="31"/>
    </row>
    <row r="126" spans="1:82" ht="14.25" x14ac:dyDescent="0.2">
      <c r="A126" s="25"/>
      <c r="B126" s="25" t="str">
        <f>EtalonRes!I43</f>
        <v>11.2.07.12</v>
      </c>
      <c r="C126" s="25" t="str">
        <f>EtalonRes!K43</f>
        <v>Изделия штучные</v>
      </c>
      <c r="D126" s="26" t="str">
        <f>EtalonRes!O43</f>
        <v>ШТ</v>
      </c>
      <c r="E126" s="29">
        <f>EtalonRes!X43</f>
        <v>100</v>
      </c>
      <c r="F126" s="24"/>
      <c r="G126" s="29">
        <f>ROUND(EtalonRes!AG43*Source!I47, 7)</f>
        <v>1</v>
      </c>
      <c r="H126" s="30"/>
      <c r="I126" s="28"/>
      <c r="J126" s="31"/>
      <c r="K126" s="27"/>
      <c r="L126" s="31"/>
    </row>
    <row r="127" spans="1:82" ht="14.25" x14ac:dyDescent="0.2">
      <c r="A127" s="25"/>
      <c r="B127" s="25"/>
      <c r="C127" s="25" t="s">
        <v>350</v>
      </c>
      <c r="D127" s="26" t="s">
        <v>252</v>
      </c>
      <c r="E127" s="29">
        <f>Source!AQ47</f>
        <v>67.7</v>
      </c>
      <c r="F127" s="24"/>
      <c r="G127" s="29">
        <f>ROUND(Source!U47, 7)</f>
        <v>0.67700000000000005</v>
      </c>
      <c r="H127" s="30"/>
      <c r="I127" s="28"/>
      <c r="J127" s="31"/>
      <c r="K127" s="27"/>
      <c r="L127" s="31"/>
    </row>
    <row r="128" spans="1:82" ht="14.25" x14ac:dyDescent="0.2">
      <c r="A128" s="25"/>
      <c r="B128" s="25"/>
      <c r="C128" s="35" t="s">
        <v>351</v>
      </c>
      <c r="D128" s="36" t="s">
        <v>252</v>
      </c>
      <c r="E128" s="37">
        <f>Source!AR47</f>
        <v>4.2</v>
      </c>
      <c r="F128" s="38"/>
      <c r="G128" s="37">
        <f>ROUND(Source!V47, 7)</f>
        <v>4.2000000000000003E-2</v>
      </c>
      <c r="H128" s="39"/>
      <c r="I128" s="40"/>
      <c r="J128" s="41"/>
      <c r="K128" s="42"/>
      <c r="L128" s="41"/>
    </row>
    <row r="129" spans="1:82" ht="14.25" x14ac:dyDescent="0.2">
      <c r="A129" s="25"/>
      <c r="B129" s="25"/>
      <c r="C129" s="25" t="s">
        <v>352</v>
      </c>
      <c r="D129" s="26"/>
      <c r="E129" s="29"/>
      <c r="F129" s="24"/>
      <c r="G129" s="29"/>
      <c r="H129" s="30">
        <f>H122+H123+H125</f>
        <v>2392.69</v>
      </c>
      <c r="I129" s="28"/>
      <c r="J129" s="31">
        <f>J122+J123+J125</f>
        <v>23</v>
      </c>
      <c r="K129" s="27"/>
      <c r="L129" s="31"/>
    </row>
    <row r="130" spans="1:82" ht="14.25" x14ac:dyDescent="0.2">
      <c r="A130" s="25"/>
      <c r="B130" s="25"/>
      <c r="C130" s="25" t="s">
        <v>353</v>
      </c>
      <c r="D130" s="26"/>
      <c r="E130" s="29"/>
      <c r="F130" s="24"/>
      <c r="G130" s="29"/>
      <c r="H130" s="30"/>
      <c r="I130" s="28"/>
      <c r="J130" s="31">
        <f>SUM(S120:S133)+SUM(T120:T133)+SUM(X120:X133)+SUM(Y120:Y133)</f>
        <v>6</v>
      </c>
      <c r="K130" s="27"/>
      <c r="L130" s="31">
        <f>SUM(AR120:AR133)+SUM(AS120:AS133)+SUM(AT120:AT133)+SUM(AU120:AU133)</f>
        <v>198</v>
      </c>
    </row>
    <row r="131" spans="1:82" ht="14.25" x14ac:dyDescent="0.2">
      <c r="A131" s="25"/>
      <c r="B131" s="25" t="s">
        <v>52</v>
      </c>
      <c r="C131" s="25" t="s">
        <v>359</v>
      </c>
      <c r="D131" s="26" t="s">
        <v>355</v>
      </c>
      <c r="E131" s="29">
        <f>Source!BZ47</f>
        <v>108</v>
      </c>
      <c r="F131" s="24"/>
      <c r="G131" s="29">
        <f>Source!AT47</f>
        <v>108</v>
      </c>
      <c r="H131" s="30"/>
      <c r="I131" s="28"/>
      <c r="J131" s="31">
        <f>SUM(AD120:AD133)</f>
        <v>6</v>
      </c>
      <c r="K131" s="27"/>
      <c r="L131" s="31">
        <f>SUM(AZ120:AZ133)</f>
        <v>214</v>
      </c>
    </row>
    <row r="132" spans="1:82" ht="14.25" x14ac:dyDescent="0.2">
      <c r="A132" s="35"/>
      <c r="B132" s="35" t="s">
        <v>53</v>
      </c>
      <c r="C132" s="35" t="s">
        <v>360</v>
      </c>
      <c r="D132" s="36" t="s">
        <v>355</v>
      </c>
      <c r="E132" s="37">
        <f>Source!CA47</f>
        <v>55</v>
      </c>
      <c r="F132" s="38"/>
      <c r="G132" s="37">
        <f>Source!AU47</f>
        <v>55</v>
      </c>
      <c r="H132" s="39"/>
      <c r="I132" s="40"/>
      <c r="J132" s="41">
        <f>SUM(AE120:AE133)</f>
        <v>3</v>
      </c>
      <c r="K132" s="42"/>
      <c r="L132" s="41">
        <f>SUM(BA120:BA133)</f>
        <v>109</v>
      </c>
    </row>
    <row r="133" spans="1:82" ht="15" x14ac:dyDescent="0.25">
      <c r="C133" s="88" t="s">
        <v>357</v>
      </c>
      <c r="D133" s="88"/>
      <c r="E133" s="88"/>
      <c r="F133" s="88"/>
      <c r="G133" s="88"/>
      <c r="H133" s="88"/>
      <c r="I133" s="89">
        <f>J122+J123+J125+J131+J132</f>
        <v>32</v>
      </c>
      <c r="J133" s="89"/>
      <c r="O133" s="43">
        <f>J122+J123+J125+J131+J132</f>
        <v>32</v>
      </c>
      <c r="P133" s="43">
        <f>J123</f>
        <v>2</v>
      </c>
      <c r="R133" t="s">
        <v>358</v>
      </c>
      <c r="S133" s="43">
        <f>J122</f>
        <v>5</v>
      </c>
      <c r="U133" s="43">
        <f>J122</f>
        <v>5</v>
      </c>
      <c r="X133" s="43">
        <f>J124</f>
        <v>1</v>
      </c>
      <c r="Z133" t="s">
        <v>358</v>
      </c>
      <c r="AA133" s="43">
        <f>J125</f>
        <v>16</v>
      </c>
      <c r="AD133">
        <f>Source!X47</f>
        <v>6</v>
      </c>
      <c r="AE133">
        <f>Source!Y47</f>
        <v>3</v>
      </c>
      <c r="AN133" s="43">
        <f>L122+L123+L125+L131+L132</f>
        <v>488</v>
      </c>
      <c r="AO133" s="43">
        <f>L123</f>
        <v>0</v>
      </c>
      <c r="AQ133" t="s">
        <v>358</v>
      </c>
      <c r="AR133" s="43">
        <f>L122</f>
        <v>165</v>
      </c>
      <c r="AT133" s="43">
        <f>L124</f>
        <v>33</v>
      </c>
      <c r="AV133" t="s">
        <v>358</v>
      </c>
      <c r="AW133" s="43">
        <f>L125</f>
        <v>0</v>
      </c>
      <c r="AZ133">
        <f>Source!HK47</f>
        <v>214</v>
      </c>
      <c r="BA133">
        <f>Source!HL47</f>
        <v>109</v>
      </c>
      <c r="BH133" s="43">
        <f>J122+J123+J125+J131+J132</f>
        <v>32</v>
      </c>
      <c r="CD133">
        <v>1</v>
      </c>
    </row>
    <row r="134" spans="1:82" ht="28.5" x14ac:dyDescent="0.2">
      <c r="A134" s="46" t="s">
        <v>115</v>
      </c>
      <c r="B134" s="35" t="str">
        <f>Source!F49</f>
        <v>15.1.02.27-0112</v>
      </c>
      <c r="C134" s="35" t="str">
        <f>Source!G49</f>
        <v>Стол со скамьями без навеса на металлических ножках</v>
      </c>
      <c r="D134" s="36" t="str">
        <f>Source!H49</f>
        <v>ШТ</v>
      </c>
      <c r="E134" s="37">
        <f>Source!K49</f>
        <v>1</v>
      </c>
      <c r="F134" s="38"/>
      <c r="G134" s="37">
        <f>Source!I49</f>
        <v>1</v>
      </c>
      <c r="H134" s="39">
        <f>Source!AL49</f>
        <v>4939.79</v>
      </c>
      <c r="I134" s="40"/>
      <c r="J134" s="41">
        <f>ROUND(Source!AC49*Source!I49, 0)</f>
        <v>4940</v>
      </c>
      <c r="K134" s="42"/>
      <c r="L134" s="41"/>
    </row>
    <row r="135" spans="1:82" ht="15" x14ac:dyDescent="0.25">
      <c r="C135" s="88" t="s">
        <v>357</v>
      </c>
      <c r="D135" s="88"/>
      <c r="E135" s="88"/>
      <c r="F135" s="88"/>
      <c r="G135" s="88"/>
      <c r="H135" s="88"/>
      <c r="I135" s="89">
        <f>J134</f>
        <v>4940</v>
      </c>
      <c r="J135" s="89"/>
      <c r="O135" s="43">
        <f>J134</f>
        <v>4940</v>
      </c>
      <c r="P135">
        <f>0</f>
        <v>0</v>
      </c>
      <c r="R135" t="s">
        <v>358</v>
      </c>
      <c r="S135">
        <f>0</f>
        <v>0</v>
      </c>
      <c r="U135">
        <f>0</f>
        <v>0</v>
      </c>
      <c r="X135">
        <f>0</f>
        <v>0</v>
      </c>
      <c r="Z135" t="s">
        <v>358</v>
      </c>
      <c r="AA135" s="43">
        <f>J134</f>
        <v>4940</v>
      </c>
      <c r="AD135">
        <f>Source!X49</f>
        <v>0</v>
      </c>
      <c r="AE135">
        <f>Source!Y49</f>
        <v>0</v>
      </c>
      <c r="AZ135">
        <f>Source!HK49</f>
        <v>0</v>
      </c>
      <c r="BA135">
        <f>Source!HL49</f>
        <v>0</v>
      </c>
      <c r="BH135" s="43">
        <f>J134</f>
        <v>4940</v>
      </c>
      <c r="CD135">
        <v>1</v>
      </c>
    </row>
    <row r="137" spans="1:82" ht="15" x14ac:dyDescent="0.2">
      <c r="A137" s="52"/>
      <c r="B137" s="53"/>
      <c r="C137" s="86" t="s">
        <v>364</v>
      </c>
      <c r="D137" s="86"/>
      <c r="E137" s="86"/>
      <c r="F137" s="86"/>
      <c r="G137" s="86"/>
      <c r="H137" s="86"/>
      <c r="I137" s="54"/>
      <c r="J137" s="55">
        <f>J139+J140+J146+J150</f>
        <v>13005</v>
      </c>
      <c r="K137" s="56"/>
      <c r="L137" s="55"/>
    </row>
    <row r="138" spans="1:82" ht="14.25" x14ac:dyDescent="0.2">
      <c r="A138" s="47"/>
      <c r="B138" s="48"/>
      <c r="C138" s="85" t="s">
        <v>365</v>
      </c>
      <c r="D138" s="82"/>
      <c r="E138" s="82"/>
      <c r="F138" s="82"/>
      <c r="G138" s="82"/>
      <c r="H138" s="82"/>
      <c r="I138" s="49"/>
      <c r="J138" s="50"/>
      <c r="K138" s="51"/>
      <c r="L138" s="50"/>
    </row>
    <row r="139" spans="1:82" ht="14.25" x14ac:dyDescent="0.2">
      <c r="A139" s="47"/>
      <c r="B139" s="48"/>
      <c r="C139" s="82" t="s">
        <v>366</v>
      </c>
      <c r="D139" s="82"/>
      <c r="E139" s="82"/>
      <c r="F139" s="82"/>
      <c r="G139" s="82"/>
      <c r="H139" s="82"/>
      <c r="I139" s="49"/>
      <c r="J139" s="50">
        <f>SUM(S36:S135)</f>
        <v>615</v>
      </c>
      <c r="K139" s="51"/>
      <c r="L139" s="50">
        <f>SUM(AR36:AR135)</f>
        <v>20240</v>
      </c>
    </row>
    <row r="140" spans="1:82" ht="14.25" x14ac:dyDescent="0.2">
      <c r="A140" s="47"/>
      <c r="B140" s="48"/>
      <c r="C140" s="82" t="s">
        <v>367</v>
      </c>
      <c r="D140" s="82"/>
      <c r="E140" s="82"/>
      <c r="F140" s="82"/>
      <c r="G140" s="82"/>
      <c r="H140" s="82"/>
      <c r="I140" s="49"/>
      <c r="J140" s="50">
        <f>J142+J145</f>
        <v>1540</v>
      </c>
      <c r="K140" s="51"/>
      <c r="L140" s="50"/>
    </row>
    <row r="141" spans="1:82" ht="14.25" x14ac:dyDescent="0.2">
      <c r="A141" s="47"/>
      <c r="B141" s="48"/>
      <c r="C141" s="85" t="s">
        <v>368</v>
      </c>
      <c r="D141" s="82"/>
      <c r="E141" s="82"/>
      <c r="F141" s="82"/>
      <c r="G141" s="82"/>
      <c r="H141" s="82"/>
      <c r="I141" s="49"/>
      <c r="J141" s="50"/>
      <c r="K141" s="51"/>
      <c r="L141" s="50"/>
    </row>
    <row r="142" spans="1:82" ht="14.25" x14ac:dyDescent="0.2">
      <c r="A142" s="47"/>
      <c r="B142" s="48"/>
      <c r="C142" s="82" t="s">
        <v>369</v>
      </c>
      <c r="D142" s="82"/>
      <c r="E142" s="82"/>
      <c r="F142" s="82"/>
      <c r="G142" s="82"/>
      <c r="H142" s="82"/>
      <c r="I142" s="49"/>
      <c r="J142" s="50">
        <f>SUM(P36:P135)</f>
        <v>1540</v>
      </c>
      <c r="K142" s="51"/>
      <c r="L142" s="50"/>
    </row>
    <row r="143" spans="1:82" ht="14.25" x14ac:dyDescent="0.2">
      <c r="A143" s="47"/>
      <c r="B143" s="48"/>
      <c r="C143" s="85" t="s">
        <v>370</v>
      </c>
      <c r="D143" s="82"/>
      <c r="E143" s="82"/>
      <c r="F143" s="82"/>
      <c r="G143" s="82"/>
      <c r="H143" s="82"/>
      <c r="I143" s="49"/>
      <c r="J143" s="50"/>
      <c r="K143" s="51"/>
      <c r="L143" s="50"/>
    </row>
    <row r="144" spans="1:82" ht="14.25" x14ac:dyDescent="0.2">
      <c r="A144" s="47"/>
      <c r="B144" s="48"/>
      <c r="C144" s="82" t="s">
        <v>371</v>
      </c>
      <c r="D144" s="82"/>
      <c r="E144" s="82"/>
      <c r="F144" s="82"/>
      <c r="G144" s="82"/>
      <c r="H144" s="82"/>
      <c r="I144" s="49"/>
      <c r="J144" s="50">
        <f>SUM(X36:X135)</f>
        <v>86</v>
      </c>
      <c r="K144" s="51"/>
      <c r="L144" s="50">
        <f>SUM(AT36:AT135)</f>
        <v>2830</v>
      </c>
    </row>
    <row r="145" spans="1:12" ht="14.25" hidden="1" x14ac:dyDescent="0.2">
      <c r="A145" s="47"/>
      <c r="B145" s="48"/>
      <c r="C145" s="82" t="s">
        <v>372</v>
      </c>
      <c r="D145" s="82"/>
      <c r="E145" s="82"/>
      <c r="F145" s="82"/>
      <c r="G145" s="82"/>
      <c r="H145" s="82"/>
      <c r="I145" s="49"/>
      <c r="J145" s="50">
        <f>SUM(Z36:Z135)</f>
        <v>0</v>
      </c>
      <c r="K145" s="51"/>
      <c r="L145" s="50">
        <f>SUM(AV36:AV135)</f>
        <v>0</v>
      </c>
    </row>
    <row r="146" spans="1:12" ht="14.25" x14ac:dyDescent="0.2">
      <c r="A146" s="47"/>
      <c r="B146" s="48"/>
      <c r="C146" s="82" t="s">
        <v>373</v>
      </c>
      <c r="D146" s="82"/>
      <c r="E146" s="82"/>
      <c r="F146" s="82"/>
      <c r="G146" s="82"/>
      <c r="H146" s="82"/>
      <c r="I146" s="49"/>
      <c r="J146" s="50">
        <f>J148+J149</f>
        <v>10850</v>
      </c>
      <c r="K146" s="51"/>
      <c r="L146" s="50"/>
    </row>
    <row r="147" spans="1:12" ht="14.25" x14ac:dyDescent="0.2">
      <c r="A147" s="47"/>
      <c r="B147" s="48"/>
      <c r="C147" s="85" t="s">
        <v>368</v>
      </c>
      <c r="D147" s="82"/>
      <c r="E147" s="82"/>
      <c r="F147" s="82"/>
      <c r="G147" s="82"/>
      <c r="H147" s="82"/>
      <c r="I147" s="49"/>
      <c r="J147" s="50"/>
      <c r="K147" s="51"/>
      <c r="L147" s="50"/>
    </row>
    <row r="148" spans="1:12" ht="14.25" x14ac:dyDescent="0.2">
      <c r="A148" s="47"/>
      <c r="B148" s="48"/>
      <c r="C148" s="82" t="s">
        <v>374</v>
      </c>
      <c r="D148" s="82"/>
      <c r="E148" s="82"/>
      <c r="F148" s="82"/>
      <c r="G148" s="82"/>
      <c r="H148" s="82"/>
      <c r="I148" s="49"/>
      <c r="J148" s="50">
        <f>SUM(AA36:AA135)-SUM(BJ36:BJ135)</f>
        <v>10850</v>
      </c>
      <c r="K148" s="51"/>
      <c r="L148" s="50"/>
    </row>
    <row r="149" spans="1:12" ht="14.25" hidden="1" x14ac:dyDescent="0.2">
      <c r="A149" s="47"/>
      <c r="B149" s="48"/>
      <c r="C149" s="82" t="s">
        <v>375</v>
      </c>
      <c r="D149" s="82"/>
      <c r="E149" s="82"/>
      <c r="F149" s="82"/>
      <c r="G149" s="82"/>
      <c r="H149" s="82"/>
      <c r="I149" s="49"/>
      <c r="J149" s="50">
        <f>SUM(AG36:AG135)</f>
        <v>0</v>
      </c>
      <c r="K149" s="51"/>
      <c r="L149" s="50"/>
    </row>
    <row r="150" spans="1:12" ht="14.25" hidden="1" x14ac:dyDescent="0.2">
      <c r="A150" s="47"/>
      <c r="B150" s="48"/>
      <c r="C150" s="82" t="s">
        <v>376</v>
      </c>
      <c r="D150" s="82"/>
      <c r="E150" s="82"/>
      <c r="F150" s="82"/>
      <c r="G150" s="82"/>
      <c r="H150" s="82"/>
      <c r="I150" s="49"/>
      <c r="J150" s="50">
        <f>SUM(AF36:AF135)</f>
        <v>0</v>
      </c>
      <c r="K150" s="51"/>
      <c r="L150" s="50"/>
    </row>
    <row r="151" spans="1:12" ht="14.25" x14ac:dyDescent="0.2">
      <c r="A151" s="47"/>
      <c r="B151" s="48"/>
      <c r="C151" s="82" t="s">
        <v>377</v>
      </c>
      <c r="D151" s="82"/>
      <c r="E151" s="82"/>
      <c r="F151" s="82"/>
      <c r="G151" s="82"/>
      <c r="H151" s="82"/>
      <c r="I151" s="49"/>
      <c r="J151" s="50">
        <f>SUM(S36:S135)+SUM(X36:X135)+SUM(Z36:Z135)</f>
        <v>701</v>
      </c>
      <c r="K151" s="51"/>
      <c r="L151" s="50">
        <f>SUM(AR36:AR135)+SUM(AT36:AT135)+SUM(AV36:AV135)</f>
        <v>23070</v>
      </c>
    </row>
    <row r="152" spans="1:12" ht="14.25" x14ac:dyDescent="0.2">
      <c r="A152" s="47"/>
      <c r="B152" s="48"/>
      <c r="C152" s="82" t="s">
        <v>378</v>
      </c>
      <c r="D152" s="82"/>
      <c r="E152" s="82"/>
      <c r="F152" s="82"/>
      <c r="G152" s="82"/>
      <c r="H152" s="82"/>
      <c r="I152" s="49"/>
      <c r="J152" s="50">
        <f>SUM(AD36:AD135)</f>
        <v>728</v>
      </c>
      <c r="K152" s="51"/>
      <c r="L152" s="50">
        <f>SUM(AZ36:AZ135)</f>
        <v>23986</v>
      </c>
    </row>
    <row r="153" spans="1:12" ht="14.25" x14ac:dyDescent="0.2">
      <c r="A153" s="47"/>
      <c r="B153" s="48"/>
      <c r="C153" s="82" t="s">
        <v>379</v>
      </c>
      <c r="D153" s="82"/>
      <c r="E153" s="82"/>
      <c r="F153" s="82"/>
      <c r="G153" s="82"/>
      <c r="H153" s="82"/>
      <c r="I153" s="49"/>
      <c r="J153" s="50">
        <f>SUM(AE36:AE135)</f>
        <v>400</v>
      </c>
      <c r="K153" s="51"/>
      <c r="L153" s="50">
        <f>SUM(BA36:BA135)</f>
        <v>13166</v>
      </c>
    </row>
    <row r="154" spans="1:12" ht="14.25" hidden="1" x14ac:dyDescent="0.2">
      <c r="A154" s="47"/>
      <c r="B154" s="48"/>
      <c r="C154" s="82" t="s">
        <v>380</v>
      </c>
      <c r="D154" s="82"/>
      <c r="E154" s="82"/>
      <c r="F154" s="82"/>
      <c r="G154" s="82"/>
      <c r="H154" s="82"/>
      <c r="I154" s="49"/>
      <c r="J154" s="50">
        <f>J156+J157</f>
        <v>0</v>
      </c>
      <c r="K154" s="51"/>
      <c r="L154" s="50"/>
    </row>
    <row r="155" spans="1:12" ht="14.25" hidden="1" x14ac:dyDescent="0.2">
      <c r="A155" s="47"/>
      <c r="B155" s="48"/>
      <c r="C155" s="85" t="s">
        <v>365</v>
      </c>
      <c r="D155" s="82"/>
      <c r="E155" s="82"/>
      <c r="F155" s="82"/>
      <c r="G155" s="82"/>
      <c r="H155" s="82"/>
      <c r="I155" s="49"/>
      <c r="J155" s="50"/>
      <c r="K155" s="51"/>
      <c r="L155" s="50"/>
    </row>
    <row r="156" spans="1:12" ht="14.25" hidden="1" x14ac:dyDescent="0.2">
      <c r="A156" s="47"/>
      <c r="B156" s="48"/>
      <c r="C156" s="82" t="s">
        <v>381</v>
      </c>
      <c r="D156" s="82"/>
      <c r="E156" s="82"/>
      <c r="F156" s="82"/>
      <c r="G156" s="82"/>
      <c r="H156" s="82"/>
      <c r="I156" s="49"/>
      <c r="J156" s="50">
        <f>SUM(BJ36:BJ135)</f>
        <v>0</v>
      </c>
      <c r="K156" s="51"/>
      <c r="L156" s="50"/>
    </row>
    <row r="157" spans="1:12" ht="14.25" hidden="1" x14ac:dyDescent="0.2">
      <c r="A157" s="47"/>
      <c r="B157" s="48"/>
      <c r="C157" s="82" t="s">
        <v>382</v>
      </c>
      <c r="D157" s="82"/>
      <c r="E157" s="82"/>
      <c r="F157" s="82"/>
      <c r="G157" s="82"/>
      <c r="H157" s="82"/>
      <c r="I157" s="49"/>
      <c r="J157" s="50">
        <f>SUM(AH36:AH135)</f>
        <v>0</v>
      </c>
      <c r="K157" s="51"/>
      <c r="L157" s="50"/>
    </row>
    <row r="158" spans="1:12" ht="14.25" hidden="1" x14ac:dyDescent="0.2">
      <c r="A158" s="47"/>
      <c r="B158" s="48"/>
      <c r="C158" s="82" t="s">
        <v>383</v>
      </c>
      <c r="D158" s="82"/>
      <c r="E158" s="82"/>
      <c r="F158" s="82"/>
      <c r="G158" s="82"/>
      <c r="H158" s="82"/>
      <c r="I158" s="49"/>
      <c r="J158" s="50"/>
      <c r="K158" s="51"/>
      <c r="L158" s="50"/>
    </row>
    <row r="159" spans="1:12" ht="15" x14ac:dyDescent="0.2">
      <c r="A159" s="52"/>
      <c r="B159" s="53"/>
      <c r="C159" s="86" t="s">
        <v>384</v>
      </c>
      <c r="D159" s="86"/>
      <c r="E159" s="86"/>
      <c r="F159" s="86"/>
      <c r="G159" s="86"/>
      <c r="H159" s="86"/>
      <c r="I159" s="54"/>
      <c r="J159" s="55">
        <f>J137+J152+J153+J154</f>
        <v>14133</v>
      </c>
      <c r="K159" s="56"/>
      <c r="L159" s="55"/>
    </row>
    <row r="160" spans="1:12" ht="14.25" x14ac:dyDescent="0.2">
      <c r="A160" s="47"/>
      <c r="B160" s="48"/>
      <c r="C160" s="85" t="s">
        <v>368</v>
      </c>
      <c r="D160" s="82"/>
      <c r="E160" s="82"/>
      <c r="F160" s="82"/>
      <c r="G160" s="82"/>
      <c r="H160" s="82"/>
      <c r="I160" s="49"/>
      <c r="J160" s="50"/>
      <c r="K160" s="51"/>
      <c r="L160" s="50"/>
    </row>
    <row r="161" spans="1:12" ht="14.25" hidden="1" x14ac:dyDescent="0.2">
      <c r="A161" s="47"/>
      <c r="B161" s="48"/>
      <c r="C161" s="82" t="s">
        <v>385</v>
      </c>
      <c r="D161" s="82"/>
      <c r="E161" s="82"/>
      <c r="F161" s="82"/>
      <c r="G161" s="82"/>
      <c r="H161" s="82"/>
      <c r="I161" s="49"/>
      <c r="J161" s="50">
        <f>SUM(AB36:AB135)</f>
        <v>0</v>
      </c>
      <c r="K161" s="51"/>
      <c r="L161" s="50">
        <f>SUM(AX36:AX135)</f>
        <v>0</v>
      </c>
    </row>
    <row r="162" spans="1:12" ht="14.25" hidden="1" x14ac:dyDescent="0.2">
      <c r="A162" s="47"/>
      <c r="B162" s="48"/>
      <c r="C162" s="82" t="s">
        <v>386</v>
      </c>
      <c r="D162" s="82"/>
      <c r="E162" s="82"/>
      <c r="F162" s="82"/>
      <c r="G162" s="82"/>
      <c r="H162" s="82"/>
      <c r="I162" s="49"/>
      <c r="J162" s="50">
        <f>SUM(AC36:AC135)</f>
        <v>0</v>
      </c>
      <c r="K162" s="51"/>
      <c r="L162" s="50">
        <f>SUM(AY36:AY135)</f>
        <v>0</v>
      </c>
    </row>
    <row r="163" spans="1:12" ht="14.25" x14ac:dyDescent="0.2">
      <c r="C163" s="84" t="str">
        <f>Source!H80</f>
        <v>ОТ</v>
      </c>
      <c r="D163" s="84"/>
      <c r="E163" s="84"/>
      <c r="F163" s="84"/>
      <c r="G163" s="84"/>
      <c r="H163" s="84"/>
      <c r="I163" s="84"/>
      <c r="J163" s="30">
        <f>IF(Source!W80=0, "", Source!W80)</f>
        <v>615</v>
      </c>
    </row>
    <row r="164" spans="1:12" ht="14.25" x14ac:dyDescent="0.2">
      <c r="C164" s="84" t="str">
        <f>Source!H81</f>
        <v>ЭМ, в т.ч. ОТм</v>
      </c>
      <c r="D164" s="84"/>
      <c r="E164" s="84"/>
      <c r="F164" s="84"/>
      <c r="G164" s="84"/>
      <c r="H164" s="84"/>
      <c r="I164" s="84"/>
      <c r="J164" s="30">
        <f>IF(Source!W81=0, "", Source!W81)</f>
        <v>1540</v>
      </c>
    </row>
    <row r="165" spans="1:12" ht="14.25" x14ac:dyDescent="0.2">
      <c r="C165" s="84" t="str">
        <f>Source!H82</f>
        <v>Стоимость материальных ресурсов</v>
      </c>
      <c r="D165" s="84"/>
      <c r="E165" s="84"/>
      <c r="F165" s="84"/>
      <c r="G165" s="84"/>
      <c r="H165" s="84"/>
      <c r="I165" s="84"/>
      <c r="J165" s="30">
        <f>IF(Source!W82=0, "", Source!W82)</f>
        <v>10850</v>
      </c>
    </row>
    <row r="166" spans="1:12" ht="14.25" x14ac:dyDescent="0.2">
      <c r="C166" s="84" t="str">
        <f>Source!H84</f>
        <v>НР</v>
      </c>
      <c r="D166" s="84"/>
      <c r="E166" s="84"/>
      <c r="F166" s="84"/>
      <c r="G166" s="84"/>
      <c r="H166" s="84"/>
      <c r="I166" s="84"/>
      <c r="J166" s="30">
        <f>IF(Source!W84=0, "", Source!W84)</f>
        <v>728</v>
      </c>
    </row>
    <row r="167" spans="1:12" ht="14.25" x14ac:dyDescent="0.2">
      <c r="C167" s="84" t="str">
        <f>Source!H85</f>
        <v>СП</v>
      </c>
      <c r="D167" s="84"/>
      <c r="E167" s="84"/>
      <c r="F167" s="84"/>
      <c r="G167" s="84"/>
      <c r="H167" s="84"/>
      <c r="I167" s="84"/>
      <c r="J167" s="30">
        <f>IF(Source!W85=0, "", Source!W85)</f>
        <v>400</v>
      </c>
    </row>
    <row r="168" spans="1:12" ht="14.25" x14ac:dyDescent="0.2">
      <c r="C168" s="84" t="str">
        <f>Source!H87</f>
        <v>Всего</v>
      </c>
      <c r="D168" s="84"/>
      <c r="E168" s="84"/>
      <c r="F168" s="84"/>
      <c r="G168" s="84"/>
      <c r="H168" s="84"/>
      <c r="I168" s="84"/>
      <c r="J168" s="30">
        <f>IF(Source!W87=0, "", Source!W87)</f>
        <v>14133</v>
      </c>
    </row>
    <row r="170" spans="1:12" ht="15" x14ac:dyDescent="0.2">
      <c r="A170" s="57"/>
      <c r="B170" s="58"/>
      <c r="C170" s="87" t="s">
        <v>387</v>
      </c>
      <c r="D170" s="87"/>
      <c r="E170" s="87"/>
      <c r="F170" s="87"/>
      <c r="G170" s="87"/>
      <c r="H170" s="87"/>
      <c r="I170" s="59"/>
      <c r="J170" s="60"/>
      <c r="K170" s="61"/>
      <c r="L170" s="60"/>
    </row>
    <row r="172" spans="1:12" ht="15" x14ac:dyDescent="0.2">
      <c r="A172" s="52"/>
      <c r="B172" s="53"/>
      <c r="C172" s="86" t="s">
        <v>388</v>
      </c>
      <c r="D172" s="86"/>
      <c r="E172" s="86"/>
      <c r="F172" s="86"/>
      <c r="G172" s="86"/>
      <c r="H172" s="86"/>
      <c r="I172" s="54"/>
      <c r="J172" s="55">
        <f>J174+J189+J190</f>
        <v>14133</v>
      </c>
      <c r="K172" s="56"/>
      <c r="L172" s="55">
        <f>L174+L189+L190</f>
        <v>177439</v>
      </c>
    </row>
    <row r="173" spans="1:12" ht="14.25" x14ac:dyDescent="0.2">
      <c r="A173" s="47"/>
      <c r="B173" s="48"/>
      <c r="C173" s="85" t="s">
        <v>365</v>
      </c>
      <c r="D173" s="82"/>
      <c r="E173" s="82"/>
      <c r="F173" s="82"/>
      <c r="G173" s="82"/>
      <c r="H173" s="82"/>
      <c r="I173" s="49"/>
      <c r="J173" s="50"/>
      <c r="K173" s="51"/>
      <c r="L173" s="50"/>
    </row>
    <row r="174" spans="1:12" ht="14.25" x14ac:dyDescent="0.2">
      <c r="A174" s="47"/>
      <c r="B174" s="48"/>
      <c r="C174" s="82" t="s">
        <v>389</v>
      </c>
      <c r="D174" s="82"/>
      <c r="E174" s="82"/>
      <c r="F174" s="82"/>
      <c r="G174" s="82"/>
      <c r="H174" s="82"/>
      <c r="I174" s="49"/>
      <c r="J174" s="50">
        <f>J176+J177+J183+J187</f>
        <v>13005</v>
      </c>
      <c r="K174" s="51"/>
      <c r="L174" s="50">
        <f>L176+L177+L183+L187</f>
        <v>140287</v>
      </c>
    </row>
    <row r="175" spans="1:12" ht="14.25" x14ac:dyDescent="0.2">
      <c r="A175" s="47"/>
      <c r="B175" s="48"/>
      <c r="C175" s="85" t="s">
        <v>365</v>
      </c>
      <c r="D175" s="82"/>
      <c r="E175" s="82"/>
      <c r="F175" s="82"/>
      <c r="G175" s="82"/>
      <c r="H175" s="82"/>
      <c r="I175" s="49"/>
      <c r="J175" s="50"/>
      <c r="K175" s="51"/>
      <c r="L175" s="50"/>
    </row>
    <row r="176" spans="1:12" ht="14.25" x14ac:dyDescent="0.2">
      <c r="A176" s="47"/>
      <c r="B176" s="48"/>
      <c r="C176" s="82" t="s">
        <v>390</v>
      </c>
      <c r="D176" s="82"/>
      <c r="E176" s="82"/>
      <c r="F176" s="82"/>
      <c r="G176" s="82"/>
      <c r="H176" s="82"/>
      <c r="I176" s="49"/>
      <c r="J176" s="50">
        <f>SUMIF(CD35:CD168, 1, S35:S168)</f>
        <v>615</v>
      </c>
      <c r="K176" s="51"/>
      <c r="L176" s="50">
        <f>SUMIF(CD35:CD168, 1, AR35:AR168)</f>
        <v>20240</v>
      </c>
    </row>
    <row r="177" spans="1:12" ht="14.25" x14ac:dyDescent="0.2">
      <c r="A177" s="47"/>
      <c r="B177" s="48"/>
      <c r="C177" s="82" t="s">
        <v>367</v>
      </c>
      <c r="D177" s="82"/>
      <c r="E177" s="82"/>
      <c r="F177" s="82"/>
      <c r="G177" s="82"/>
      <c r="H177" s="82"/>
      <c r="I177" s="49"/>
      <c r="J177" s="50">
        <f>J179+J182</f>
        <v>1540</v>
      </c>
      <c r="K177" s="51"/>
      <c r="L177" s="50">
        <f>L179+L182</f>
        <v>19142</v>
      </c>
    </row>
    <row r="178" spans="1:12" ht="14.25" x14ac:dyDescent="0.2">
      <c r="A178" s="47"/>
      <c r="B178" s="48"/>
      <c r="C178" s="85" t="s">
        <v>368</v>
      </c>
      <c r="D178" s="82"/>
      <c r="E178" s="82"/>
      <c r="F178" s="82"/>
      <c r="G178" s="82"/>
      <c r="H178" s="82"/>
      <c r="I178" s="49"/>
      <c r="J178" s="50"/>
      <c r="K178" s="51"/>
      <c r="L178" s="50"/>
    </row>
    <row r="179" spans="1:12" ht="14.25" x14ac:dyDescent="0.2">
      <c r="A179" s="47"/>
      <c r="B179" s="48" t="str">
        <f>Source!V178</f>
        <v/>
      </c>
      <c r="C179" s="82" t="s">
        <v>369</v>
      </c>
      <c r="D179" s="82"/>
      <c r="E179" s="82"/>
      <c r="F179" s="82"/>
      <c r="G179" s="82"/>
      <c r="H179" s="82"/>
      <c r="I179" s="49"/>
      <c r="J179" s="50">
        <f>SUMIF(CD35:CD168, 1, P35:P168)</f>
        <v>1540</v>
      </c>
      <c r="K179" s="51">
        <f>Source!E178</f>
        <v>12.43</v>
      </c>
      <c r="L179" s="50">
        <f>ROUND(J179*Source!E178, 0)</f>
        <v>19142</v>
      </c>
    </row>
    <row r="180" spans="1:12" ht="14.25" x14ac:dyDescent="0.2">
      <c r="A180" s="47"/>
      <c r="B180" s="48"/>
      <c r="C180" s="85" t="s">
        <v>370</v>
      </c>
      <c r="D180" s="82"/>
      <c r="E180" s="82"/>
      <c r="F180" s="82"/>
      <c r="G180" s="82"/>
      <c r="H180" s="82"/>
      <c r="I180" s="49"/>
      <c r="J180" s="50"/>
      <c r="K180" s="51"/>
      <c r="L180" s="50"/>
    </row>
    <row r="181" spans="1:12" ht="14.25" x14ac:dyDescent="0.2">
      <c r="A181" s="47"/>
      <c r="B181" s="48"/>
      <c r="C181" s="82" t="s">
        <v>371</v>
      </c>
      <c r="D181" s="82"/>
      <c r="E181" s="82"/>
      <c r="F181" s="82"/>
      <c r="G181" s="82"/>
      <c r="H181" s="82"/>
      <c r="I181" s="49"/>
      <c r="J181" s="50">
        <f>SUMIF(CD35:CD168, 1, X35:X168)</f>
        <v>86</v>
      </c>
      <c r="K181" s="51"/>
      <c r="L181" s="50">
        <f>SUMIF(CD35:CD168, 1, AT35:AT168)</f>
        <v>2830</v>
      </c>
    </row>
    <row r="182" spans="1:12" ht="14.25" hidden="1" x14ac:dyDescent="0.2">
      <c r="A182" s="47"/>
      <c r="B182" s="48"/>
      <c r="C182" s="82" t="s">
        <v>372</v>
      </c>
      <c r="D182" s="82"/>
      <c r="E182" s="82"/>
      <c r="F182" s="82"/>
      <c r="G182" s="82"/>
      <c r="H182" s="82"/>
      <c r="I182" s="49"/>
      <c r="J182" s="50">
        <f>SUMIF(CD35:CD168, 1, Z35:Z168)</f>
        <v>0</v>
      </c>
      <c r="K182" s="51"/>
      <c r="L182" s="50">
        <f>SUMIF(CD35:CD168, 1, AV35:AV168)</f>
        <v>0</v>
      </c>
    </row>
    <row r="183" spans="1:12" ht="14.25" x14ac:dyDescent="0.2">
      <c r="A183" s="47"/>
      <c r="B183" s="48"/>
      <c r="C183" s="82" t="s">
        <v>373</v>
      </c>
      <c r="D183" s="82"/>
      <c r="E183" s="82"/>
      <c r="F183" s="82"/>
      <c r="G183" s="82"/>
      <c r="H183" s="82"/>
      <c r="I183" s="49"/>
      <c r="J183" s="50">
        <f>J185+J186</f>
        <v>10850</v>
      </c>
      <c r="K183" s="51"/>
      <c r="L183" s="50">
        <f>L185+L186</f>
        <v>100905</v>
      </c>
    </row>
    <row r="184" spans="1:12" ht="14.25" x14ac:dyDescent="0.2">
      <c r="A184" s="47"/>
      <c r="B184" s="48"/>
      <c r="C184" s="85" t="s">
        <v>368</v>
      </c>
      <c r="D184" s="82"/>
      <c r="E184" s="82"/>
      <c r="F184" s="82"/>
      <c r="G184" s="82"/>
      <c r="H184" s="82"/>
      <c r="I184" s="49"/>
      <c r="J184" s="50"/>
      <c r="K184" s="51"/>
      <c r="L184" s="50"/>
    </row>
    <row r="185" spans="1:12" ht="14.25" x14ac:dyDescent="0.2">
      <c r="A185" s="47"/>
      <c r="B185" s="48" t="str">
        <f>Source!U178</f>
        <v/>
      </c>
      <c r="C185" s="82" t="s">
        <v>374</v>
      </c>
      <c r="D185" s="82"/>
      <c r="E185" s="82"/>
      <c r="F185" s="82"/>
      <c r="G185" s="82"/>
      <c r="H185" s="82"/>
      <c r="I185" s="49"/>
      <c r="J185" s="50">
        <f>SUMIF(CD35:CD168, 1, AA35:AA168)-SUMIF(CD35:CD168, 1, BJ35:BJ168)</f>
        <v>10850</v>
      </c>
      <c r="K185" s="51">
        <f>Source!D178</f>
        <v>9.3000000000000007</v>
      </c>
      <c r="L185" s="50">
        <f>ROUND(J185*Source!D178, 0)</f>
        <v>100905</v>
      </c>
    </row>
    <row r="186" spans="1:12" ht="14.25" hidden="1" x14ac:dyDescent="0.2">
      <c r="A186" s="47"/>
      <c r="B186" s="48" t="str">
        <f>Source!AB178</f>
        <v/>
      </c>
      <c r="C186" s="82" t="s">
        <v>375</v>
      </c>
      <c r="D186" s="82"/>
      <c r="E186" s="82"/>
      <c r="F186" s="82"/>
      <c r="G186" s="82"/>
      <c r="H186" s="82"/>
      <c r="I186" s="49"/>
      <c r="J186" s="50">
        <f>SUMIF(CD35:CD168, 1, AG35:AG168)</f>
        <v>0</v>
      </c>
      <c r="K186" s="51">
        <f>Source!L178</f>
        <v>1</v>
      </c>
      <c r="L186" s="50">
        <f>ROUND(J186*Source!L178, 0)</f>
        <v>0</v>
      </c>
    </row>
    <row r="187" spans="1:12" ht="14.25" hidden="1" x14ac:dyDescent="0.2">
      <c r="A187" s="47"/>
      <c r="B187" s="48" t="str">
        <f>Source!AB178</f>
        <v/>
      </c>
      <c r="C187" s="82" t="s">
        <v>376</v>
      </c>
      <c r="D187" s="82"/>
      <c r="E187" s="82"/>
      <c r="F187" s="82"/>
      <c r="G187" s="82"/>
      <c r="H187" s="82"/>
      <c r="I187" s="49"/>
      <c r="J187" s="50">
        <f>SUMIF(CD35:CD168, 1, AF35:AF168)</f>
        <v>0</v>
      </c>
      <c r="K187" s="51">
        <f>Source!L178</f>
        <v>1</v>
      </c>
      <c r="L187" s="50">
        <f>ROUND(J187*Source!L178, 0)</f>
        <v>0</v>
      </c>
    </row>
    <row r="188" spans="1:12" ht="14.25" x14ac:dyDescent="0.2">
      <c r="A188" s="47"/>
      <c r="B188" s="48"/>
      <c r="C188" s="82" t="s">
        <v>391</v>
      </c>
      <c r="D188" s="82"/>
      <c r="E188" s="82"/>
      <c r="F188" s="82"/>
      <c r="G188" s="82"/>
      <c r="H188" s="82"/>
      <c r="I188" s="49"/>
      <c r="J188" s="50">
        <f>SUMIF(CD35:CD168, 1, S35:S168)+SUMIF(CD35:CD168, 1, X35:X168)+SUMIF(CD35:CD168, 1, Z35:Z168)</f>
        <v>701</v>
      </c>
      <c r="K188" s="51"/>
      <c r="L188" s="50">
        <f>SUMIF(CD35:CD168, 1, AR35:AR168)+SUMIF(CD35:CD168, 1, AT35:AT168)+SUMIF(CD35:CD168, 1, AV35:AV168)</f>
        <v>23070</v>
      </c>
    </row>
    <row r="189" spans="1:12" ht="14.25" x14ac:dyDescent="0.2">
      <c r="A189" s="47"/>
      <c r="B189" s="48"/>
      <c r="C189" s="82" t="s">
        <v>392</v>
      </c>
      <c r="D189" s="82"/>
      <c r="E189" s="82"/>
      <c r="F189" s="82"/>
      <c r="G189" s="82"/>
      <c r="H189" s="82"/>
      <c r="I189" s="49"/>
      <c r="J189" s="50">
        <f>SUMIF(CD35:CD168, 1, AD35:AD168)</f>
        <v>728</v>
      </c>
      <c r="K189" s="51"/>
      <c r="L189" s="50">
        <f>SUMIF(CD35:CD168, 1, AZ35:AZ168)</f>
        <v>23986</v>
      </c>
    </row>
    <row r="190" spans="1:12" ht="14.25" x14ac:dyDescent="0.2">
      <c r="A190" s="47"/>
      <c r="B190" s="48"/>
      <c r="C190" s="82" t="s">
        <v>393</v>
      </c>
      <c r="D190" s="82"/>
      <c r="E190" s="82"/>
      <c r="F190" s="82"/>
      <c r="G190" s="82"/>
      <c r="H190" s="82"/>
      <c r="I190" s="49"/>
      <c r="J190" s="50">
        <f>SUMIF(CD35:CD168, 1, AE35:AE168)</f>
        <v>400</v>
      </c>
      <c r="K190" s="51"/>
      <c r="L190" s="50">
        <f>SUMIF(CD35:CD168, 1, BA35:BA168)</f>
        <v>13166</v>
      </c>
    </row>
    <row r="191" spans="1:12" hidden="1" x14ac:dyDescent="0.2"/>
    <row r="192" spans="1:12" ht="15" hidden="1" x14ac:dyDescent="0.2">
      <c r="A192" s="52"/>
      <c r="B192" s="53"/>
      <c r="C192" s="86" t="s">
        <v>394</v>
      </c>
      <c r="D192" s="86"/>
      <c r="E192" s="86"/>
      <c r="F192" s="86"/>
      <c r="G192" s="86"/>
      <c r="H192" s="86"/>
      <c r="I192" s="54"/>
      <c r="J192" s="55">
        <f>J194+J209+J210</f>
        <v>0</v>
      </c>
      <c r="K192" s="56"/>
      <c r="L192" s="55">
        <f>L194+L209+L210</f>
        <v>0</v>
      </c>
    </row>
    <row r="193" spans="1:12" ht="14.25" hidden="1" x14ac:dyDescent="0.2">
      <c r="A193" s="47"/>
      <c r="B193" s="48"/>
      <c r="C193" s="85" t="s">
        <v>365</v>
      </c>
      <c r="D193" s="82"/>
      <c r="E193" s="82"/>
      <c r="F193" s="82"/>
      <c r="G193" s="82"/>
      <c r="H193" s="82"/>
      <c r="I193" s="49"/>
      <c r="J193" s="50"/>
      <c r="K193" s="51"/>
      <c r="L193" s="50"/>
    </row>
    <row r="194" spans="1:12" ht="14.25" hidden="1" x14ac:dyDescent="0.2">
      <c r="A194" s="47"/>
      <c r="B194" s="48"/>
      <c r="C194" s="82" t="s">
        <v>389</v>
      </c>
      <c r="D194" s="82"/>
      <c r="E194" s="82"/>
      <c r="F194" s="82"/>
      <c r="G194" s="82"/>
      <c r="H194" s="82"/>
      <c r="I194" s="49"/>
      <c r="J194" s="50">
        <f>J196+J197+J203+J207</f>
        <v>0</v>
      </c>
      <c r="K194" s="51"/>
      <c r="L194" s="50">
        <f>L196+L197+L203+L207</f>
        <v>0</v>
      </c>
    </row>
    <row r="195" spans="1:12" ht="14.25" hidden="1" x14ac:dyDescent="0.2">
      <c r="A195" s="47"/>
      <c r="B195" s="48"/>
      <c r="C195" s="85" t="s">
        <v>365</v>
      </c>
      <c r="D195" s="82"/>
      <c r="E195" s="82"/>
      <c r="F195" s="82"/>
      <c r="G195" s="82"/>
      <c r="H195" s="82"/>
      <c r="I195" s="49"/>
      <c r="J195" s="50"/>
      <c r="K195" s="51"/>
      <c r="L195" s="50"/>
    </row>
    <row r="196" spans="1:12" ht="14.25" hidden="1" x14ac:dyDescent="0.2">
      <c r="A196" s="47"/>
      <c r="B196" s="48"/>
      <c r="C196" s="82" t="s">
        <v>390</v>
      </c>
      <c r="D196" s="82"/>
      <c r="E196" s="82"/>
      <c r="F196" s="82"/>
      <c r="G196" s="82"/>
      <c r="H196" s="82"/>
      <c r="I196" s="49"/>
      <c r="J196" s="50">
        <f>SUMIF(CD35:CD190, 2, S35:S190)</f>
        <v>0</v>
      </c>
      <c r="K196" s="51"/>
      <c r="L196" s="50">
        <f>SUMIF(CD35:CD190, 2, AR35:AR190)</f>
        <v>0</v>
      </c>
    </row>
    <row r="197" spans="1:12" ht="14.25" hidden="1" x14ac:dyDescent="0.2">
      <c r="A197" s="47"/>
      <c r="B197" s="48"/>
      <c r="C197" s="82" t="s">
        <v>367</v>
      </c>
      <c r="D197" s="82"/>
      <c r="E197" s="82"/>
      <c r="F197" s="82"/>
      <c r="G197" s="82"/>
      <c r="H197" s="82"/>
      <c r="I197" s="49"/>
      <c r="J197" s="50">
        <f>J199+J202</f>
        <v>0</v>
      </c>
      <c r="K197" s="51"/>
      <c r="L197" s="50">
        <f>L199+L202</f>
        <v>0</v>
      </c>
    </row>
    <row r="198" spans="1:12" ht="14.25" hidden="1" x14ac:dyDescent="0.2">
      <c r="A198" s="47"/>
      <c r="B198" s="48"/>
      <c r="C198" s="85" t="s">
        <v>368</v>
      </c>
      <c r="D198" s="82"/>
      <c r="E198" s="82"/>
      <c r="F198" s="82"/>
      <c r="G198" s="82"/>
      <c r="H198" s="82"/>
      <c r="I198" s="49"/>
      <c r="J198" s="50"/>
      <c r="K198" s="51"/>
      <c r="L198" s="50"/>
    </row>
    <row r="199" spans="1:12" ht="14.25" hidden="1" x14ac:dyDescent="0.2">
      <c r="A199" s="47"/>
      <c r="B199" s="48" t="str">
        <f>Source!V178</f>
        <v/>
      </c>
      <c r="C199" s="82" t="s">
        <v>369</v>
      </c>
      <c r="D199" s="82"/>
      <c r="E199" s="82"/>
      <c r="F199" s="82"/>
      <c r="G199" s="82"/>
      <c r="H199" s="82"/>
      <c r="I199" s="49"/>
      <c r="J199" s="50">
        <f>SUMIF(CD35:CD190, 2, P35:P190)</f>
        <v>0</v>
      </c>
      <c r="K199" s="51">
        <f>Source!E178</f>
        <v>12.43</v>
      </c>
      <c r="L199" s="50">
        <f>ROUND(J199*Source!E178, 0)</f>
        <v>0</v>
      </c>
    </row>
    <row r="200" spans="1:12" ht="14.25" hidden="1" x14ac:dyDescent="0.2">
      <c r="A200" s="47"/>
      <c r="B200" s="48"/>
      <c r="C200" s="85" t="s">
        <v>370</v>
      </c>
      <c r="D200" s="82"/>
      <c r="E200" s="82"/>
      <c r="F200" s="82"/>
      <c r="G200" s="82"/>
      <c r="H200" s="82"/>
      <c r="I200" s="49"/>
      <c r="J200" s="50"/>
      <c r="K200" s="51"/>
      <c r="L200" s="50"/>
    </row>
    <row r="201" spans="1:12" ht="14.25" hidden="1" x14ac:dyDescent="0.2">
      <c r="A201" s="47"/>
      <c r="B201" s="48"/>
      <c r="C201" s="82" t="s">
        <v>371</v>
      </c>
      <c r="D201" s="82"/>
      <c r="E201" s="82"/>
      <c r="F201" s="82"/>
      <c r="G201" s="82"/>
      <c r="H201" s="82"/>
      <c r="I201" s="49"/>
      <c r="J201" s="50">
        <f>SUMIF(CD35:CD190, 2, X35:X190)</f>
        <v>0</v>
      </c>
      <c r="K201" s="51"/>
      <c r="L201" s="50">
        <f>SUMIF(CD35:CD190, 2, AT35:AT190)</f>
        <v>0</v>
      </c>
    </row>
    <row r="202" spans="1:12" ht="14.25" hidden="1" x14ac:dyDescent="0.2">
      <c r="A202" s="47"/>
      <c r="B202" s="48"/>
      <c r="C202" s="82" t="s">
        <v>372</v>
      </c>
      <c r="D202" s="82"/>
      <c r="E202" s="82"/>
      <c r="F202" s="82"/>
      <c r="G202" s="82"/>
      <c r="H202" s="82"/>
      <c r="I202" s="49"/>
      <c r="J202" s="50">
        <f>SUMIF(CD35:CD190, 2, Z35:Z190)</f>
        <v>0</v>
      </c>
      <c r="K202" s="51"/>
      <c r="L202" s="50">
        <f>SUMIF(CD35:CD190, 2, AV35:AV190)</f>
        <v>0</v>
      </c>
    </row>
    <row r="203" spans="1:12" ht="14.25" hidden="1" x14ac:dyDescent="0.2">
      <c r="A203" s="47"/>
      <c r="B203" s="48"/>
      <c r="C203" s="82" t="s">
        <v>373</v>
      </c>
      <c r="D203" s="82"/>
      <c r="E203" s="82"/>
      <c r="F203" s="82"/>
      <c r="G203" s="82"/>
      <c r="H203" s="82"/>
      <c r="I203" s="49"/>
      <c r="J203" s="50">
        <f>J205+J206</f>
        <v>0</v>
      </c>
      <c r="K203" s="51"/>
      <c r="L203" s="50">
        <f>L205+L206</f>
        <v>0</v>
      </c>
    </row>
    <row r="204" spans="1:12" ht="14.25" hidden="1" x14ac:dyDescent="0.2">
      <c r="A204" s="47"/>
      <c r="B204" s="48"/>
      <c r="C204" s="85" t="s">
        <v>368</v>
      </c>
      <c r="D204" s="82"/>
      <c r="E204" s="82"/>
      <c r="F204" s="82"/>
      <c r="G204" s="82"/>
      <c r="H204" s="82"/>
      <c r="I204" s="49"/>
      <c r="J204" s="50"/>
      <c r="K204" s="51"/>
      <c r="L204" s="50"/>
    </row>
    <row r="205" spans="1:12" ht="14.25" hidden="1" x14ac:dyDescent="0.2">
      <c r="A205" s="47"/>
      <c r="B205" s="48" t="str">
        <f>Source!U178</f>
        <v/>
      </c>
      <c r="C205" s="82" t="s">
        <v>374</v>
      </c>
      <c r="D205" s="82"/>
      <c r="E205" s="82"/>
      <c r="F205" s="82"/>
      <c r="G205" s="82"/>
      <c r="H205" s="82"/>
      <c r="I205" s="49"/>
      <c r="J205" s="50">
        <f>SUMIF(CD35:CD190, 2, AA35:AA190)-SUMIF(CD35:CD190, 2, BJ35:BJ190)</f>
        <v>0</v>
      </c>
      <c r="K205" s="51">
        <f>Source!D178</f>
        <v>9.3000000000000007</v>
      </c>
      <c r="L205" s="50">
        <f>ROUND(J205*Source!D178, 0)</f>
        <v>0</v>
      </c>
    </row>
    <row r="206" spans="1:12" ht="14.25" hidden="1" x14ac:dyDescent="0.2">
      <c r="A206" s="47"/>
      <c r="B206" s="48" t="str">
        <f>Source!AB178</f>
        <v/>
      </c>
      <c r="C206" s="82" t="s">
        <v>375</v>
      </c>
      <c r="D206" s="82"/>
      <c r="E206" s="82"/>
      <c r="F206" s="82"/>
      <c r="G206" s="82"/>
      <c r="H206" s="82"/>
      <c r="I206" s="49"/>
      <c r="J206" s="50">
        <f>SUMIF(CD35:CD190, 2, AG35:AG190)</f>
        <v>0</v>
      </c>
      <c r="K206" s="51">
        <f>Source!L178</f>
        <v>1</v>
      </c>
      <c r="L206" s="50">
        <f>ROUND(J206*Source!L178, 0)</f>
        <v>0</v>
      </c>
    </row>
    <row r="207" spans="1:12" ht="14.25" hidden="1" x14ac:dyDescent="0.2">
      <c r="A207" s="47"/>
      <c r="B207" s="48" t="str">
        <f>Source!AB178</f>
        <v/>
      </c>
      <c r="C207" s="82" t="s">
        <v>376</v>
      </c>
      <c r="D207" s="82"/>
      <c r="E207" s="82"/>
      <c r="F207" s="82"/>
      <c r="G207" s="82"/>
      <c r="H207" s="82"/>
      <c r="I207" s="49"/>
      <c r="J207" s="50">
        <f>SUMIF(CD35:CD190, 2, AF35:AF190)</f>
        <v>0</v>
      </c>
      <c r="K207" s="51">
        <f>Source!L178</f>
        <v>1</v>
      </c>
      <c r="L207" s="50">
        <f>ROUND(J207*Source!L178, 0)</f>
        <v>0</v>
      </c>
    </row>
    <row r="208" spans="1:12" ht="14.25" hidden="1" x14ac:dyDescent="0.2">
      <c r="A208" s="47"/>
      <c r="B208" s="48"/>
      <c r="C208" s="82" t="s">
        <v>391</v>
      </c>
      <c r="D208" s="82"/>
      <c r="E208" s="82"/>
      <c r="F208" s="82"/>
      <c r="G208" s="82"/>
      <c r="H208" s="82"/>
      <c r="I208" s="49"/>
      <c r="J208" s="50">
        <f>SUMIF(CD35:CD190, 2, S35:S190)+SUMIF(CD35:CD190, 2, X35:X190)+SUMIF(CD35:CD190, 2, Z35:Z190)</f>
        <v>0</v>
      </c>
      <c r="K208" s="51"/>
      <c r="L208" s="50">
        <f>SUMIF(CD35:CD190, 2, AR35:AR190)+SUMIF(CD35:CD190, 2, AT35:AT190)+SUMIF(CD35:CD190, 2, AV35:AV190)</f>
        <v>0</v>
      </c>
    </row>
    <row r="209" spans="1:12" ht="14.25" hidden="1" x14ac:dyDescent="0.2">
      <c r="A209" s="47"/>
      <c r="B209" s="48"/>
      <c r="C209" s="82" t="s">
        <v>392</v>
      </c>
      <c r="D209" s="82"/>
      <c r="E209" s="82"/>
      <c r="F209" s="82"/>
      <c r="G209" s="82"/>
      <c r="H209" s="82"/>
      <c r="I209" s="49"/>
      <c r="J209" s="50">
        <f>SUMIF(CD35:CD190, 2, AD35:AD190)</f>
        <v>0</v>
      </c>
      <c r="K209" s="51"/>
      <c r="L209" s="50">
        <f>SUMIF(CD35:CD190, 2, AZ35:AZ190)</f>
        <v>0</v>
      </c>
    </row>
    <row r="210" spans="1:12" ht="14.25" hidden="1" x14ac:dyDescent="0.2">
      <c r="A210" s="47"/>
      <c r="B210" s="48"/>
      <c r="C210" s="82" t="s">
        <v>393</v>
      </c>
      <c r="D210" s="82"/>
      <c r="E210" s="82"/>
      <c r="F210" s="82"/>
      <c r="G210" s="82"/>
      <c r="H210" s="82"/>
      <c r="I210" s="49"/>
      <c r="J210" s="50">
        <f>SUMIF(CD35:CD190, 2, AE35:AE190)</f>
        <v>0</v>
      </c>
      <c r="K210" s="51"/>
      <c r="L210" s="50">
        <f>SUMIF(CD35:CD190, 2, BA35:BA190)</f>
        <v>0</v>
      </c>
    </row>
    <row r="211" spans="1:12" hidden="1" x14ac:dyDescent="0.2"/>
    <row r="212" spans="1:12" ht="15" hidden="1" x14ac:dyDescent="0.2">
      <c r="A212" s="52"/>
      <c r="B212" s="53"/>
      <c r="C212" s="86" t="s">
        <v>395</v>
      </c>
      <c r="D212" s="86"/>
      <c r="E212" s="86"/>
      <c r="F212" s="86"/>
      <c r="G212" s="86"/>
      <c r="H212" s="86"/>
      <c r="I212" s="54"/>
      <c r="J212" s="55">
        <f>J214+J215</f>
        <v>0</v>
      </c>
      <c r="K212" s="56"/>
      <c r="L212" s="55">
        <f>L214+L215</f>
        <v>0</v>
      </c>
    </row>
    <row r="213" spans="1:12" ht="14.25" hidden="1" x14ac:dyDescent="0.2">
      <c r="A213" s="47"/>
      <c r="B213" s="48"/>
      <c r="C213" s="85" t="s">
        <v>365</v>
      </c>
      <c r="D213" s="82"/>
      <c r="E213" s="82"/>
      <c r="F213" s="82"/>
      <c r="G213" s="82"/>
      <c r="H213" s="82"/>
      <c r="I213" s="49"/>
      <c r="J213" s="50"/>
      <c r="K213" s="51"/>
      <c r="L213" s="50"/>
    </row>
    <row r="214" spans="1:12" ht="14.25" hidden="1" x14ac:dyDescent="0.2">
      <c r="A214" s="47"/>
      <c r="B214" s="48" t="str">
        <f>Source!Y178</f>
        <v/>
      </c>
      <c r="C214" s="82" t="s">
        <v>381</v>
      </c>
      <c r="D214" s="82"/>
      <c r="E214" s="82"/>
      <c r="F214" s="82"/>
      <c r="G214" s="82"/>
      <c r="H214" s="82"/>
      <c r="I214" s="49"/>
      <c r="J214" s="50">
        <f>SUMIF(CD35:CD210, 3, BJ35:BJ210)</f>
        <v>0</v>
      </c>
      <c r="K214" s="51">
        <f>Source!H178</f>
        <v>1</v>
      </c>
      <c r="L214" s="50">
        <f>ROUND(J214*Source!H178, 0)</f>
        <v>0</v>
      </c>
    </row>
    <row r="215" spans="1:12" ht="14.25" hidden="1" x14ac:dyDescent="0.2">
      <c r="A215" s="47"/>
      <c r="B215" s="48" t="str">
        <f>Source!AB178</f>
        <v/>
      </c>
      <c r="C215" s="82" t="s">
        <v>382</v>
      </c>
      <c r="D215" s="82"/>
      <c r="E215" s="82"/>
      <c r="F215" s="82"/>
      <c r="G215" s="82"/>
      <c r="H215" s="82"/>
      <c r="I215" s="49"/>
      <c r="J215" s="50">
        <f>SUMIF(CD35:CD210, 3, AH35:AH210)</f>
        <v>0</v>
      </c>
      <c r="K215" s="51">
        <f>Source!L178</f>
        <v>1</v>
      </c>
      <c r="L215" s="50">
        <f>ROUND(J215*Source!L178, 0)</f>
        <v>0</v>
      </c>
    </row>
    <row r="216" spans="1:12" hidden="1" x14ac:dyDescent="0.2"/>
    <row r="217" spans="1:12" ht="15" hidden="1" x14ac:dyDescent="0.2">
      <c r="A217" s="52"/>
      <c r="B217" s="53"/>
      <c r="C217" s="86" t="s">
        <v>396</v>
      </c>
      <c r="D217" s="86"/>
      <c r="E217" s="86"/>
      <c r="F217" s="86"/>
      <c r="G217" s="86"/>
      <c r="H217" s="86"/>
      <c r="I217" s="54"/>
      <c r="J217" s="55">
        <f>J222+J237+J238</f>
        <v>0</v>
      </c>
      <c r="K217" s="56"/>
      <c r="L217" s="55">
        <f>L222+L237+L238</f>
        <v>0</v>
      </c>
    </row>
    <row r="218" spans="1:12" ht="14.25" hidden="1" x14ac:dyDescent="0.2">
      <c r="A218" s="47"/>
      <c r="B218" s="48"/>
      <c r="C218" s="85" t="s">
        <v>365</v>
      </c>
      <c r="D218" s="82"/>
      <c r="E218" s="82"/>
      <c r="F218" s="82"/>
      <c r="G218" s="82"/>
      <c r="H218" s="82"/>
      <c r="I218" s="49"/>
      <c r="J218" s="50"/>
      <c r="K218" s="51"/>
      <c r="L218" s="50"/>
    </row>
    <row r="219" spans="1:12" ht="14.25" hidden="1" x14ac:dyDescent="0.2">
      <c r="A219" s="47"/>
      <c r="B219" s="48" t="str">
        <f>Source!AA178</f>
        <v/>
      </c>
      <c r="C219" s="82" t="s">
        <v>397</v>
      </c>
      <c r="D219" s="82"/>
      <c r="E219" s="82"/>
      <c r="F219" s="82"/>
      <c r="G219" s="82"/>
      <c r="H219" s="82"/>
      <c r="I219" s="49"/>
      <c r="J219" s="50">
        <f>SUM(BM35:BM215)</f>
        <v>0</v>
      </c>
      <c r="K219" s="51">
        <f>Source!K178</f>
        <v>1</v>
      </c>
      <c r="L219" s="50">
        <f>SUM(BR35:BR215)</f>
        <v>0</v>
      </c>
    </row>
    <row r="220" spans="1:12" ht="14.25" hidden="1" x14ac:dyDescent="0.2">
      <c r="A220" s="47"/>
      <c r="B220" s="48" t="str">
        <f>Source!Z178</f>
        <v/>
      </c>
      <c r="C220" s="82" t="s">
        <v>398</v>
      </c>
      <c r="D220" s="82"/>
      <c r="E220" s="82"/>
      <c r="F220" s="82"/>
      <c r="G220" s="82"/>
      <c r="H220" s="82"/>
      <c r="I220" s="49"/>
      <c r="J220" s="50">
        <f>SUM(BL35:BL215)</f>
        <v>0</v>
      </c>
      <c r="K220" s="51">
        <f>Source!I178</f>
        <v>1</v>
      </c>
      <c r="L220" s="50">
        <f>ROUND(J220*K220, 0)</f>
        <v>0</v>
      </c>
    </row>
    <row r="221" spans="1:12" ht="14.25" hidden="1" x14ac:dyDescent="0.2">
      <c r="A221" s="47"/>
      <c r="B221" s="48"/>
      <c r="C221" s="85" t="s">
        <v>365</v>
      </c>
      <c r="D221" s="82"/>
      <c r="E221" s="82"/>
      <c r="F221" s="82"/>
      <c r="G221" s="82"/>
      <c r="H221" s="82"/>
      <c r="I221" s="49"/>
      <c r="J221" s="50"/>
      <c r="K221" s="51"/>
      <c r="L221" s="50"/>
    </row>
    <row r="222" spans="1:12" ht="14.25" hidden="1" x14ac:dyDescent="0.2">
      <c r="A222" s="47"/>
      <c r="B222" s="48"/>
      <c r="C222" s="82" t="s">
        <v>389</v>
      </c>
      <c r="D222" s="82"/>
      <c r="E222" s="82"/>
      <c r="F222" s="82"/>
      <c r="G222" s="82"/>
      <c r="H222" s="82"/>
      <c r="I222" s="49"/>
      <c r="J222" s="50">
        <f>J224+J225+J231+J235</f>
        <v>0</v>
      </c>
      <c r="K222" s="51"/>
      <c r="L222" s="50">
        <f>L224+L225+L231+L235</f>
        <v>0</v>
      </c>
    </row>
    <row r="223" spans="1:12" ht="14.25" hidden="1" x14ac:dyDescent="0.2">
      <c r="A223" s="47"/>
      <c r="B223" s="48"/>
      <c r="C223" s="85" t="s">
        <v>365</v>
      </c>
      <c r="D223" s="82"/>
      <c r="E223" s="82"/>
      <c r="F223" s="82"/>
      <c r="G223" s="82"/>
      <c r="H223" s="82"/>
      <c r="I223" s="49"/>
      <c r="J223" s="50"/>
      <c r="K223" s="51"/>
      <c r="L223" s="50"/>
    </row>
    <row r="224" spans="1:12" ht="14.25" hidden="1" x14ac:dyDescent="0.2">
      <c r="A224" s="47"/>
      <c r="B224" s="48"/>
      <c r="C224" s="82" t="s">
        <v>390</v>
      </c>
      <c r="D224" s="82"/>
      <c r="E224" s="82"/>
      <c r="F224" s="82"/>
      <c r="G224" s="82"/>
      <c r="H224" s="82"/>
      <c r="I224" s="49"/>
      <c r="J224" s="50">
        <f>SUMIF(CD35:CD215, 4, S35:S215)</f>
        <v>0</v>
      </c>
      <c r="K224" s="51"/>
      <c r="L224" s="50">
        <f>SUMIF(CD35:CD215, 4, AR35:AR215)</f>
        <v>0</v>
      </c>
    </row>
    <row r="225" spans="1:12" ht="14.25" hidden="1" x14ac:dyDescent="0.2">
      <c r="A225" s="47"/>
      <c r="B225" s="48"/>
      <c r="C225" s="82" t="s">
        <v>367</v>
      </c>
      <c r="D225" s="82"/>
      <c r="E225" s="82"/>
      <c r="F225" s="82"/>
      <c r="G225" s="82"/>
      <c r="H225" s="82"/>
      <c r="I225" s="49"/>
      <c r="J225" s="50">
        <f>J227+J230</f>
        <v>0</v>
      </c>
      <c r="K225" s="51"/>
      <c r="L225" s="50">
        <f>L227+L230</f>
        <v>0</v>
      </c>
    </row>
    <row r="226" spans="1:12" ht="14.25" hidden="1" x14ac:dyDescent="0.2">
      <c r="A226" s="47"/>
      <c r="B226" s="48"/>
      <c r="C226" s="85" t="s">
        <v>368</v>
      </c>
      <c r="D226" s="82"/>
      <c r="E226" s="82"/>
      <c r="F226" s="82"/>
      <c r="G226" s="82"/>
      <c r="H226" s="82"/>
      <c r="I226" s="49"/>
      <c r="J226" s="50"/>
      <c r="K226" s="51"/>
      <c r="L226" s="50"/>
    </row>
    <row r="227" spans="1:12" ht="14.25" hidden="1" x14ac:dyDescent="0.2">
      <c r="A227" s="47"/>
      <c r="B227" s="48" t="str">
        <f>Source!V178</f>
        <v/>
      </c>
      <c r="C227" s="82" t="s">
        <v>369</v>
      </c>
      <c r="D227" s="82"/>
      <c r="E227" s="82"/>
      <c r="F227" s="82"/>
      <c r="G227" s="82"/>
      <c r="H227" s="82"/>
      <c r="I227" s="49"/>
      <c r="J227" s="50">
        <f>SUMIF(CD35:CD215, 4, P35:P215)</f>
        <v>0</v>
      </c>
      <c r="K227" s="51">
        <f>Source!E178</f>
        <v>12.43</v>
      </c>
      <c r="L227" s="50">
        <f>ROUND(J227*Source!E178, 0)</f>
        <v>0</v>
      </c>
    </row>
    <row r="228" spans="1:12" ht="14.25" hidden="1" x14ac:dyDescent="0.2">
      <c r="A228" s="47"/>
      <c r="B228" s="48"/>
      <c r="C228" s="85" t="s">
        <v>370</v>
      </c>
      <c r="D228" s="82"/>
      <c r="E228" s="82"/>
      <c r="F228" s="82"/>
      <c r="G228" s="82"/>
      <c r="H228" s="82"/>
      <c r="I228" s="49"/>
      <c r="J228" s="50"/>
      <c r="K228" s="51"/>
      <c r="L228" s="50"/>
    </row>
    <row r="229" spans="1:12" ht="14.25" hidden="1" x14ac:dyDescent="0.2">
      <c r="A229" s="47"/>
      <c r="B229" s="48"/>
      <c r="C229" s="82" t="s">
        <v>371</v>
      </c>
      <c r="D229" s="82"/>
      <c r="E229" s="82"/>
      <c r="F229" s="82"/>
      <c r="G229" s="82"/>
      <c r="H229" s="82"/>
      <c r="I229" s="49"/>
      <c r="J229" s="50">
        <f>SUMIF(CD35:CD215, 4, X35:X215)</f>
        <v>0</v>
      </c>
      <c r="K229" s="51"/>
      <c r="L229" s="50">
        <f>SUMIF(CD35:CD215, 4, AT35:AT215)</f>
        <v>0</v>
      </c>
    </row>
    <row r="230" spans="1:12" ht="14.25" hidden="1" x14ac:dyDescent="0.2">
      <c r="A230" s="47"/>
      <c r="B230" s="48"/>
      <c r="C230" s="82" t="s">
        <v>372</v>
      </c>
      <c r="D230" s="82"/>
      <c r="E230" s="82"/>
      <c r="F230" s="82"/>
      <c r="G230" s="82"/>
      <c r="H230" s="82"/>
      <c r="I230" s="49"/>
      <c r="J230" s="50">
        <f>SUMIF(CD35:CD215, 4, Z35:Z215)</f>
        <v>0</v>
      </c>
      <c r="K230" s="51"/>
      <c r="L230" s="50">
        <f>SUMIF(CD35:CD215, 4, AV35:AV215)</f>
        <v>0</v>
      </c>
    </row>
    <row r="231" spans="1:12" ht="14.25" hidden="1" x14ac:dyDescent="0.2">
      <c r="A231" s="47"/>
      <c r="B231" s="48"/>
      <c r="C231" s="82" t="s">
        <v>373</v>
      </c>
      <c r="D231" s="82"/>
      <c r="E231" s="82"/>
      <c r="F231" s="82"/>
      <c r="G231" s="82"/>
      <c r="H231" s="82"/>
      <c r="I231" s="49"/>
      <c r="J231" s="50">
        <f>J233+J234</f>
        <v>0</v>
      </c>
      <c r="K231" s="51"/>
      <c r="L231" s="50">
        <f>L233+L234</f>
        <v>0</v>
      </c>
    </row>
    <row r="232" spans="1:12" ht="14.25" hidden="1" x14ac:dyDescent="0.2">
      <c r="A232" s="47"/>
      <c r="B232" s="48"/>
      <c r="C232" s="85" t="s">
        <v>368</v>
      </c>
      <c r="D232" s="82"/>
      <c r="E232" s="82"/>
      <c r="F232" s="82"/>
      <c r="G232" s="82"/>
      <c r="H232" s="82"/>
      <c r="I232" s="49"/>
      <c r="J232" s="50"/>
      <c r="K232" s="51"/>
      <c r="L232" s="50"/>
    </row>
    <row r="233" spans="1:12" ht="14.25" hidden="1" x14ac:dyDescent="0.2">
      <c r="A233" s="47"/>
      <c r="B233" s="48" t="str">
        <f>Source!U178</f>
        <v/>
      </c>
      <c r="C233" s="82" t="s">
        <v>374</v>
      </c>
      <c r="D233" s="82"/>
      <c r="E233" s="82"/>
      <c r="F233" s="82"/>
      <c r="G233" s="82"/>
      <c r="H233" s="82"/>
      <c r="I233" s="49"/>
      <c r="J233" s="50">
        <f>SUMIF(CD35:CD215, 4, AA35:AA215)-SUMIF(CD35:CD215, 4, BJ35:BJ215)</f>
        <v>0</v>
      </c>
      <c r="K233" s="51">
        <f>Source!D178</f>
        <v>9.3000000000000007</v>
      </c>
      <c r="L233" s="50">
        <f>ROUND(J233*Source!D178, 0)</f>
        <v>0</v>
      </c>
    </row>
    <row r="234" spans="1:12" ht="14.25" hidden="1" x14ac:dyDescent="0.2">
      <c r="A234" s="47"/>
      <c r="B234" s="48" t="str">
        <f>Source!AB178</f>
        <v/>
      </c>
      <c r="C234" s="82" t="s">
        <v>375</v>
      </c>
      <c r="D234" s="82"/>
      <c r="E234" s="82"/>
      <c r="F234" s="82"/>
      <c r="G234" s="82"/>
      <c r="H234" s="82"/>
      <c r="I234" s="49"/>
      <c r="J234" s="50">
        <f>SUMIF(CD35:CD215, 4, AG35:AG215)</f>
        <v>0</v>
      </c>
      <c r="K234" s="51">
        <f>Source!L178</f>
        <v>1</v>
      </c>
      <c r="L234" s="50">
        <f>ROUND(J234*Source!L178, 0)</f>
        <v>0</v>
      </c>
    </row>
    <row r="235" spans="1:12" ht="14.25" hidden="1" x14ac:dyDescent="0.2">
      <c r="A235" s="47"/>
      <c r="B235" s="48" t="str">
        <f>Source!AB178</f>
        <v/>
      </c>
      <c r="C235" s="82" t="s">
        <v>376</v>
      </c>
      <c r="D235" s="82"/>
      <c r="E235" s="82"/>
      <c r="F235" s="82"/>
      <c r="G235" s="82"/>
      <c r="H235" s="82"/>
      <c r="I235" s="49"/>
      <c r="J235" s="50">
        <f>SUMIF(CD35:CD215, 4, AF35:AF215)</f>
        <v>0</v>
      </c>
      <c r="K235" s="51">
        <f>Source!L178</f>
        <v>1</v>
      </c>
      <c r="L235" s="50">
        <f>ROUND(J235*Source!L178, 0)</f>
        <v>0</v>
      </c>
    </row>
    <row r="236" spans="1:12" ht="14.25" hidden="1" x14ac:dyDescent="0.2">
      <c r="A236" s="47"/>
      <c r="B236" s="48"/>
      <c r="C236" s="82" t="s">
        <v>391</v>
      </c>
      <c r="D236" s="82"/>
      <c r="E236" s="82"/>
      <c r="F236" s="82"/>
      <c r="G236" s="82"/>
      <c r="H236" s="82"/>
      <c r="I236" s="49"/>
      <c r="J236" s="50">
        <f>SUMIF(CD35:CD215, 4, S35:S215)+SUMIF(CD35:CD215, 4, X35:X215)+SUMIF(CD35:CD215, 4, Z35:Z215)</f>
        <v>0</v>
      </c>
      <c r="K236" s="51"/>
      <c r="L236" s="50">
        <f>SUMIF(CD35:CD215, 4, AR35:AR215)+SUMIF(CD35:CD215, 4, AT35:AT215)+SUMIF(CD35:CD215, 4, AV35:AV215)</f>
        <v>0</v>
      </c>
    </row>
    <row r="237" spans="1:12" ht="14.25" hidden="1" x14ac:dyDescent="0.2">
      <c r="A237" s="47"/>
      <c r="B237" s="48"/>
      <c r="C237" s="82" t="s">
        <v>392</v>
      </c>
      <c r="D237" s="82"/>
      <c r="E237" s="82"/>
      <c r="F237" s="82"/>
      <c r="G237" s="82"/>
      <c r="H237" s="82"/>
      <c r="I237" s="49"/>
      <c r="J237" s="50">
        <f>SUMIF(CD35:CD215, 4, AD35:AD215)</f>
        <v>0</v>
      </c>
      <c r="K237" s="51"/>
      <c r="L237" s="50">
        <f>SUMIF(CD35:CD215, 4, AZ35:AZ215)</f>
        <v>0</v>
      </c>
    </row>
    <row r="238" spans="1:12" ht="14.25" hidden="1" x14ac:dyDescent="0.2">
      <c r="A238" s="47"/>
      <c r="B238" s="48"/>
      <c r="C238" s="82" t="s">
        <v>393</v>
      </c>
      <c r="D238" s="82"/>
      <c r="E238" s="82"/>
      <c r="F238" s="82"/>
      <c r="G238" s="82"/>
      <c r="H238" s="82"/>
      <c r="I238" s="49"/>
      <c r="J238" s="50">
        <f>SUMIF(CD35:CD215, 4, AE35:AE215)</f>
        <v>0</v>
      </c>
      <c r="K238" s="51"/>
      <c r="L238" s="50">
        <f>SUMIF(CD35:CD215, 4, BA35:BA215)</f>
        <v>0</v>
      </c>
    </row>
    <row r="240" spans="1:12" ht="15" x14ac:dyDescent="0.2">
      <c r="A240" s="52"/>
      <c r="B240" s="53"/>
      <c r="C240" s="86" t="s">
        <v>399</v>
      </c>
      <c r="D240" s="86"/>
      <c r="E240" s="86"/>
      <c r="F240" s="86"/>
      <c r="G240" s="86"/>
      <c r="H240" s="86"/>
      <c r="I240" s="54"/>
      <c r="J240" s="55">
        <f>J242+J257+J258+J259</f>
        <v>14133</v>
      </c>
      <c r="K240" s="56"/>
      <c r="L240" s="55">
        <f>L242+L257+L258+L259</f>
        <v>177439</v>
      </c>
    </row>
    <row r="241" spans="1:12" ht="14.25" x14ac:dyDescent="0.2">
      <c r="A241" s="47"/>
      <c r="B241" s="48"/>
      <c r="C241" s="85" t="s">
        <v>365</v>
      </c>
      <c r="D241" s="82"/>
      <c r="E241" s="82"/>
      <c r="F241" s="82"/>
      <c r="G241" s="82"/>
      <c r="H241" s="82"/>
      <c r="I241" s="49"/>
      <c r="J241" s="50"/>
      <c r="K241" s="51"/>
      <c r="L241" s="50"/>
    </row>
    <row r="242" spans="1:12" ht="14.25" x14ac:dyDescent="0.2">
      <c r="A242" s="47"/>
      <c r="B242" s="48"/>
      <c r="C242" s="82" t="s">
        <v>389</v>
      </c>
      <c r="D242" s="82"/>
      <c r="E242" s="82"/>
      <c r="F242" s="82"/>
      <c r="G242" s="82"/>
      <c r="H242" s="82"/>
      <c r="I242" s="49"/>
      <c r="J242" s="50">
        <f>J244+J245+J251+J255</f>
        <v>13005</v>
      </c>
      <c r="K242" s="51"/>
      <c r="L242" s="50">
        <f>L244+L245+L251+L255</f>
        <v>140287</v>
      </c>
    </row>
    <row r="243" spans="1:12" ht="14.25" x14ac:dyDescent="0.2">
      <c r="A243" s="47"/>
      <c r="B243" s="48"/>
      <c r="C243" s="85" t="s">
        <v>365</v>
      </c>
      <c r="D243" s="82"/>
      <c r="E243" s="82"/>
      <c r="F243" s="82"/>
      <c r="G243" s="82"/>
      <c r="H243" s="82"/>
      <c r="I243" s="49"/>
      <c r="J243" s="50"/>
      <c r="K243" s="51"/>
      <c r="L243" s="50"/>
    </row>
    <row r="244" spans="1:12" ht="14.25" x14ac:dyDescent="0.2">
      <c r="A244" s="47"/>
      <c r="B244" s="48"/>
      <c r="C244" s="82" t="s">
        <v>390</v>
      </c>
      <c r="D244" s="82"/>
      <c r="E244" s="82"/>
      <c r="F244" s="82"/>
      <c r="G244" s="82"/>
      <c r="H244" s="82"/>
      <c r="I244" s="49"/>
      <c r="J244" s="50">
        <f>SUM(S35:S238)</f>
        <v>615</v>
      </c>
      <c r="K244" s="51"/>
      <c r="L244" s="50">
        <f>SUM(AR35:AR238)</f>
        <v>20240</v>
      </c>
    </row>
    <row r="245" spans="1:12" ht="14.25" x14ac:dyDescent="0.2">
      <c r="A245" s="47"/>
      <c r="B245" s="48"/>
      <c r="C245" s="82" t="s">
        <v>367</v>
      </c>
      <c r="D245" s="82"/>
      <c r="E245" s="82"/>
      <c r="F245" s="82"/>
      <c r="G245" s="82"/>
      <c r="H245" s="82"/>
      <c r="I245" s="49"/>
      <c r="J245" s="50">
        <f>J247+J250</f>
        <v>1540</v>
      </c>
      <c r="K245" s="51"/>
      <c r="L245" s="50">
        <f>L247+L250</f>
        <v>19142</v>
      </c>
    </row>
    <row r="246" spans="1:12" ht="14.25" x14ac:dyDescent="0.2">
      <c r="A246" s="47"/>
      <c r="B246" s="48"/>
      <c r="C246" s="85" t="s">
        <v>368</v>
      </c>
      <c r="D246" s="82"/>
      <c r="E246" s="82"/>
      <c r="F246" s="82"/>
      <c r="G246" s="82"/>
      <c r="H246" s="82"/>
      <c r="I246" s="49"/>
      <c r="J246" s="50"/>
      <c r="K246" s="51"/>
      <c r="L246" s="50"/>
    </row>
    <row r="247" spans="1:12" ht="14.25" x14ac:dyDescent="0.2">
      <c r="A247" s="47"/>
      <c r="B247" s="48" t="str">
        <f>Source!V178</f>
        <v/>
      </c>
      <c r="C247" s="82" t="s">
        <v>369</v>
      </c>
      <c r="D247" s="82"/>
      <c r="E247" s="82"/>
      <c r="F247" s="82"/>
      <c r="G247" s="82"/>
      <c r="H247" s="82"/>
      <c r="I247" s="49"/>
      <c r="J247" s="50">
        <f>SUM(P35:P238)</f>
        <v>1540</v>
      </c>
      <c r="K247" s="51"/>
      <c r="L247" s="50">
        <f>ROUND(J247*Source!E178, 0)</f>
        <v>19142</v>
      </c>
    </row>
    <row r="248" spans="1:12" ht="14.25" x14ac:dyDescent="0.2">
      <c r="A248" s="47"/>
      <c r="B248" s="48"/>
      <c r="C248" s="85" t="s">
        <v>370</v>
      </c>
      <c r="D248" s="82"/>
      <c r="E248" s="82"/>
      <c r="F248" s="82"/>
      <c r="G248" s="82"/>
      <c r="H248" s="82"/>
      <c r="I248" s="49"/>
      <c r="J248" s="50"/>
      <c r="K248" s="51"/>
      <c r="L248" s="50"/>
    </row>
    <row r="249" spans="1:12" ht="14.25" x14ac:dyDescent="0.2">
      <c r="A249" s="47"/>
      <c r="B249" s="48"/>
      <c r="C249" s="82" t="s">
        <v>371</v>
      </c>
      <c r="D249" s="82"/>
      <c r="E249" s="82"/>
      <c r="F249" s="82"/>
      <c r="G249" s="82"/>
      <c r="H249" s="82"/>
      <c r="I249" s="49"/>
      <c r="J249" s="50">
        <f>SUM(X35:X238)</f>
        <v>86</v>
      </c>
      <c r="K249" s="51"/>
      <c r="L249" s="50">
        <f>SUM(AT35:AT238)</f>
        <v>2830</v>
      </c>
    </row>
    <row r="250" spans="1:12" ht="14.25" hidden="1" x14ac:dyDescent="0.2">
      <c r="A250" s="47"/>
      <c r="B250" s="48"/>
      <c r="C250" s="82" t="s">
        <v>372</v>
      </c>
      <c r="D250" s="82"/>
      <c r="E250" s="82"/>
      <c r="F250" s="82"/>
      <c r="G250" s="82"/>
      <c r="H250" s="82"/>
      <c r="I250" s="49"/>
      <c r="J250" s="50">
        <f>SUM(Z35:Z238)</f>
        <v>0</v>
      </c>
      <c r="K250" s="51"/>
      <c r="L250" s="50">
        <f>SUM(AV35:AV238)</f>
        <v>0</v>
      </c>
    </row>
    <row r="251" spans="1:12" ht="14.25" x14ac:dyDescent="0.2">
      <c r="A251" s="47"/>
      <c r="B251" s="48"/>
      <c r="C251" s="82" t="s">
        <v>373</v>
      </c>
      <c r="D251" s="82"/>
      <c r="E251" s="82"/>
      <c r="F251" s="82"/>
      <c r="G251" s="82"/>
      <c r="H251" s="82"/>
      <c r="I251" s="49"/>
      <c r="J251" s="50">
        <f>J253+J254</f>
        <v>10850</v>
      </c>
      <c r="K251" s="51"/>
      <c r="L251" s="50">
        <f>L253+L254</f>
        <v>100905</v>
      </c>
    </row>
    <row r="252" spans="1:12" ht="14.25" x14ac:dyDescent="0.2">
      <c r="A252" s="47"/>
      <c r="B252" s="48"/>
      <c r="C252" s="85" t="s">
        <v>368</v>
      </c>
      <c r="D252" s="82"/>
      <c r="E252" s="82"/>
      <c r="F252" s="82"/>
      <c r="G252" s="82"/>
      <c r="H252" s="82"/>
      <c r="I252" s="49"/>
      <c r="J252" s="50"/>
      <c r="K252" s="51"/>
      <c r="L252" s="50"/>
    </row>
    <row r="253" spans="1:12" ht="14.25" x14ac:dyDescent="0.2">
      <c r="A253" s="47"/>
      <c r="B253" s="48" t="str">
        <f>Source!U178</f>
        <v/>
      </c>
      <c r="C253" s="82" t="s">
        <v>374</v>
      </c>
      <c r="D253" s="82"/>
      <c r="E253" s="82"/>
      <c r="F253" s="82"/>
      <c r="G253" s="82"/>
      <c r="H253" s="82"/>
      <c r="I253" s="49"/>
      <c r="J253" s="50">
        <f>SUM(AA35:AA238)-SUM(BJ35:BJ238)</f>
        <v>10850</v>
      </c>
      <c r="K253" s="51"/>
      <c r="L253" s="50">
        <f>ROUND(J253*Source!D178, 0)</f>
        <v>100905</v>
      </c>
    </row>
    <row r="254" spans="1:12" ht="14.25" hidden="1" x14ac:dyDescent="0.2">
      <c r="A254" s="47"/>
      <c r="B254" s="48" t="str">
        <f>Source!AB178</f>
        <v/>
      </c>
      <c r="C254" s="82" t="s">
        <v>375</v>
      </c>
      <c r="D254" s="82"/>
      <c r="E254" s="82"/>
      <c r="F254" s="82"/>
      <c r="G254" s="82"/>
      <c r="H254" s="82"/>
      <c r="I254" s="49"/>
      <c r="J254" s="50">
        <f>SUM(AG35:AG238)</f>
        <v>0</v>
      </c>
      <c r="K254" s="51"/>
      <c r="L254" s="50">
        <f>ROUND(J254*Source!L178, 0)</f>
        <v>0</v>
      </c>
    </row>
    <row r="255" spans="1:12" ht="14.25" hidden="1" x14ac:dyDescent="0.2">
      <c r="A255" s="47"/>
      <c r="B255" s="48" t="str">
        <f>Source!AB178</f>
        <v/>
      </c>
      <c r="C255" s="82" t="s">
        <v>376</v>
      </c>
      <c r="D255" s="82"/>
      <c r="E255" s="82"/>
      <c r="F255" s="82"/>
      <c r="G255" s="82"/>
      <c r="H255" s="82"/>
      <c r="I255" s="49"/>
      <c r="J255" s="50">
        <f>SUM(AF35:AF238)</f>
        <v>0</v>
      </c>
      <c r="K255" s="51"/>
      <c r="L255" s="50">
        <f>ROUND(J255*Source!L178, 0)</f>
        <v>0</v>
      </c>
    </row>
    <row r="256" spans="1:12" ht="14.25" x14ac:dyDescent="0.2">
      <c r="A256" s="47"/>
      <c r="B256" s="48"/>
      <c r="C256" s="82" t="s">
        <v>377</v>
      </c>
      <c r="D256" s="82"/>
      <c r="E256" s="82"/>
      <c r="F256" s="82"/>
      <c r="G256" s="82"/>
      <c r="H256" s="82"/>
      <c r="I256" s="49"/>
      <c r="J256" s="50">
        <f>SUM(S35:S238)+SUM(X35:X238)+SUM(Z35:Z238)</f>
        <v>701</v>
      </c>
      <c r="K256" s="51"/>
      <c r="L256" s="50">
        <f>SUM(AR35:AR238)+SUM(AT35:AT238)+SUM(AV35:AV238)</f>
        <v>23070</v>
      </c>
    </row>
    <row r="257" spans="1:12" ht="14.25" x14ac:dyDescent="0.2">
      <c r="A257" s="47"/>
      <c r="B257" s="48"/>
      <c r="C257" s="82" t="s">
        <v>378</v>
      </c>
      <c r="D257" s="82"/>
      <c r="E257" s="82"/>
      <c r="F257" s="82"/>
      <c r="G257" s="82"/>
      <c r="H257" s="82"/>
      <c r="I257" s="49"/>
      <c r="J257" s="50">
        <f>SUM(AD35:AD238)</f>
        <v>728</v>
      </c>
      <c r="K257" s="51"/>
      <c r="L257" s="50">
        <f>SUM(AZ35:AZ238)</f>
        <v>23986</v>
      </c>
    </row>
    <row r="258" spans="1:12" ht="14.25" x14ac:dyDescent="0.2">
      <c r="A258" s="47"/>
      <c r="B258" s="48"/>
      <c r="C258" s="82" t="s">
        <v>379</v>
      </c>
      <c r="D258" s="82"/>
      <c r="E258" s="82"/>
      <c r="F258" s="82"/>
      <c r="G258" s="82"/>
      <c r="H258" s="82"/>
      <c r="I258" s="49"/>
      <c r="J258" s="50">
        <f>SUM(AE35:AE238)</f>
        <v>400</v>
      </c>
      <c r="K258" s="51"/>
      <c r="L258" s="50">
        <f>SUM(BA35:BA238)</f>
        <v>13166</v>
      </c>
    </row>
    <row r="259" spans="1:12" ht="14.25" hidden="1" x14ac:dyDescent="0.2">
      <c r="A259" s="47"/>
      <c r="B259" s="48"/>
      <c r="C259" s="82" t="s">
        <v>400</v>
      </c>
      <c r="D259" s="82"/>
      <c r="E259" s="82"/>
      <c r="F259" s="82"/>
      <c r="G259" s="82"/>
      <c r="H259" s="82"/>
      <c r="I259" s="49"/>
      <c r="J259" s="50">
        <f>J261+J262</f>
        <v>0</v>
      </c>
      <c r="K259" s="51"/>
      <c r="L259" s="50">
        <f>L261+L262</f>
        <v>0</v>
      </c>
    </row>
    <row r="260" spans="1:12" ht="14.25" hidden="1" x14ac:dyDescent="0.2">
      <c r="A260" s="47"/>
      <c r="B260" s="48"/>
      <c r="C260" s="85" t="s">
        <v>365</v>
      </c>
      <c r="D260" s="82"/>
      <c r="E260" s="82"/>
      <c r="F260" s="82"/>
      <c r="G260" s="82"/>
      <c r="H260" s="82"/>
      <c r="I260" s="49"/>
      <c r="J260" s="50"/>
      <c r="K260" s="51"/>
      <c r="L260" s="50"/>
    </row>
    <row r="261" spans="1:12" ht="14.25" hidden="1" x14ac:dyDescent="0.2">
      <c r="A261" s="47"/>
      <c r="B261" s="48" t="str">
        <f>Source!Y178</f>
        <v/>
      </c>
      <c r="C261" s="82" t="s">
        <v>381</v>
      </c>
      <c r="D261" s="82"/>
      <c r="E261" s="82"/>
      <c r="F261" s="82"/>
      <c r="G261" s="82"/>
      <c r="H261" s="82"/>
      <c r="I261" s="49"/>
      <c r="J261" s="50">
        <f>SUM(BJ35:BJ238)</f>
        <v>0</v>
      </c>
      <c r="K261" s="51"/>
      <c r="L261" s="50">
        <f>ROUND(J261*Source!H178, 0)</f>
        <v>0</v>
      </c>
    </row>
    <row r="262" spans="1:12" ht="14.25" hidden="1" x14ac:dyDescent="0.2">
      <c r="A262" s="47"/>
      <c r="B262" s="48" t="str">
        <f>Source!AB178</f>
        <v/>
      </c>
      <c r="C262" s="82" t="s">
        <v>382</v>
      </c>
      <c r="D262" s="82"/>
      <c r="E262" s="82"/>
      <c r="F262" s="82"/>
      <c r="G262" s="82"/>
      <c r="H262" s="82"/>
      <c r="I262" s="49"/>
      <c r="J262" s="50">
        <f>SUM(AH35:AH238)</f>
        <v>0</v>
      </c>
      <c r="K262" s="51"/>
      <c r="L262" s="50">
        <f>ROUND(J262*Source!L178, 0)</f>
        <v>0</v>
      </c>
    </row>
    <row r="263" spans="1:12" ht="14.25" hidden="1" x14ac:dyDescent="0.2">
      <c r="A263" s="47"/>
      <c r="B263" s="48"/>
      <c r="C263" s="82" t="s">
        <v>401</v>
      </c>
      <c r="D263" s="82"/>
      <c r="E263" s="82"/>
      <c r="F263" s="82"/>
      <c r="G263" s="82"/>
      <c r="H263" s="82"/>
      <c r="I263" s="49"/>
      <c r="J263" s="50">
        <f>J217</f>
        <v>0</v>
      </c>
      <c r="K263" s="51"/>
      <c r="L263" s="50">
        <f>L217</f>
        <v>0</v>
      </c>
    </row>
    <row r="264" spans="1:12" ht="14.25" x14ac:dyDescent="0.2">
      <c r="A264" s="47"/>
      <c r="B264" s="48"/>
      <c r="C264" s="86" t="s">
        <v>402</v>
      </c>
      <c r="D264" s="82"/>
      <c r="E264" s="82"/>
      <c r="F264" s="82"/>
      <c r="G264" s="82"/>
      <c r="H264" s="82"/>
      <c r="I264" s="49"/>
      <c r="J264" s="50"/>
      <c r="K264" s="51"/>
      <c r="L264" s="50"/>
    </row>
    <row r="265" spans="1:12" ht="14.25" hidden="1" x14ac:dyDescent="0.2">
      <c r="A265" s="47"/>
      <c r="B265" s="48"/>
      <c r="C265" s="82" t="s">
        <v>385</v>
      </c>
      <c r="D265" s="82"/>
      <c r="E265" s="82"/>
      <c r="F265" s="82"/>
      <c r="G265" s="82"/>
      <c r="H265" s="82"/>
      <c r="I265" s="49"/>
      <c r="J265" s="50">
        <f>SUM(AB35:AB238)</f>
        <v>0</v>
      </c>
      <c r="K265" s="51"/>
      <c r="L265" s="50">
        <f>SUM(AX35:AX238)</f>
        <v>0</v>
      </c>
    </row>
    <row r="266" spans="1:12" ht="14.25" hidden="1" x14ac:dyDescent="0.2">
      <c r="A266" s="47"/>
      <c r="B266" s="48"/>
      <c r="C266" s="82" t="s">
        <v>386</v>
      </c>
      <c r="D266" s="82"/>
      <c r="E266" s="82"/>
      <c r="F266" s="82"/>
      <c r="G266" s="82"/>
      <c r="H266" s="82"/>
      <c r="I266" s="49"/>
      <c r="J266" s="50">
        <f>SUM(AC35:AC238)</f>
        <v>0</v>
      </c>
      <c r="K266" s="51"/>
      <c r="L266" s="50">
        <f>SUM(AY35:AY238)</f>
        <v>0</v>
      </c>
    </row>
    <row r="267" spans="1:12" ht="14.25" x14ac:dyDescent="0.2">
      <c r="A267" s="47"/>
      <c r="B267" s="48"/>
      <c r="C267" s="82" t="s">
        <v>403</v>
      </c>
      <c r="D267" s="82"/>
      <c r="E267" s="82"/>
      <c r="F267" s="83"/>
      <c r="G267" s="62">
        <f>Source!F113</f>
        <v>68.476216000000008</v>
      </c>
      <c r="H267" s="47"/>
      <c r="I267" s="47"/>
      <c r="J267" s="47"/>
      <c r="K267" s="47"/>
      <c r="L267" s="47"/>
    </row>
    <row r="268" spans="1:12" ht="14.25" x14ac:dyDescent="0.2">
      <c r="A268" s="47"/>
      <c r="B268" s="48"/>
      <c r="C268" s="82" t="s">
        <v>404</v>
      </c>
      <c r="D268" s="82"/>
      <c r="E268" s="82"/>
      <c r="F268" s="83"/>
      <c r="G268" s="62">
        <f>Source!F114</f>
        <v>5.7678919999999998</v>
      </c>
      <c r="H268" s="47"/>
      <c r="I268" s="47"/>
      <c r="J268" s="47"/>
      <c r="K268" s="47"/>
      <c r="L268" s="47"/>
    </row>
    <row r="270" spans="1:12" ht="14.25" x14ac:dyDescent="0.2">
      <c r="C270" s="84" t="str">
        <f>Source!H120</f>
        <v>НДС 20%</v>
      </c>
      <c r="D270" s="84"/>
      <c r="E270" s="84"/>
      <c r="F270" s="84"/>
      <c r="G270" s="84"/>
      <c r="H270" s="84"/>
      <c r="I270" s="84"/>
      <c r="J270" s="31">
        <f>IF(Source!W120=0, "", Source!W120)</f>
        <v>2827</v>
      </c>
      <c r="K270" s="31" t="str">
        <f>IF(OR(Source!X120=0,Source!X120=1), "", Source!X120)</f>
        <v/>
      </c>
      <c r="L270" s="31">
        <f>IF(Source!Y120=0, "", Source!Y120)</f>
        <v>35488</v>
      </c>
    </row>
    <row r="271" spans="1:12" ht="14.25" x14ac:dyDescent="0.2">
      <c r="C271" s="84" t="str">
        <f>Source!H121</f>
        <v>ВСЕГО с НДС 20%</v>
      </c>
      <c r="D271" s="84"/>
      <c r="E271" s="84"/>
      <c r="F271" s="84"/>
      <c r="G271" s="84"/>
      <c r="H271" s="84"/>
      <c r="I271" s="84"/>
      <c r="J271" s="31">
        <f>IF(Source!W121=0, "", Source!W121)</f>
        <v>16960</v>
      </c>
      <c r="K271" s="31" t="str">
        <f>IF(OR(Source!X121=0,Source!X121=1), "", Source!X121)</f>
        <v/>
      </c>
      <c r="L271" s="31">
        <f>IF(Source!Y121=0, "", Source!Y121)</f>
        <v>212927</v>
      </c>
    </row>
    <row r="274" spans="1:12" ht="14.25" customHeight="1" x14ac:dyDescent="0.2">
      <c r="A274" s="80" t="s">
        <v>405</v>
      </c>
      <c r="B274" s="80"/>
      <c r="C274" s="68" t="s">
        <v>421</v>
      </c>
      <c r="D274" s="17" t="s">
        <v>422</v>
      </c>
      <c r="E274" s="17"/>
      <c r="F274" s="17"/>
      <c r="G274" s="17"/>
      <c r="H274" s="67" t="str">
        <f>IF(Source!AB12&lt;&gt;"", Source!AB12," ")</f>
        <v xml:space="preserve"> </v>
      </c>
      <c r="I274" s="12"/>
      <c r="J274" s="12"/>
      <c r="K274" s="12"/>
      <c r="L274" s="11"/>
    </row>
    <row r="275" spans="1:12" ht="14.25" customHeight="1" x14ac:dyDescent="0.2">
      <c r="A275" s="12"/>
      <c r="B275" s="12"/>
      <c r="C275" s="81" t="s">
        <v>406</v>
      </c>
      <c r="D275" s="81"/>
      <c r="E275" s="81"/>
      <c r="F275" s="81"/>
      <c r="G275" s="81"/>
      <c r="H275" s="12"/>
      <c r="I275" s="12"/>
      <c r="J275" s="12"/>
      <c r="K275" s="12"/>
      <c r="L275" s="11"/>
    </row>
    <row r="276" spans="1:12" ht="14.2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1"/>
    </row>
    <row r="277" spans="1:12" ht="14.25" customHeight="1" x14ac:dyDescent="0.2">
      <c r="A277" s="80" t="s">
        <v>407</v>
      </c>
      <c r="B277" s="80"/>
      <c r="C277" s="68" t="str">
        <f>IF(Source!AE12&lt;&gt;"", Source!AE12," ")</f>
        <v xml:space="preserve"> </v>
      </c>
      <c r="D277" s="17"/>
      <c r="E277" s="17"/>
      <c r="F277" s="17"/>
      <c r="G277" s="17"/>
      <c r="H277" s="67" t="str">
        <f>IF(Source!AD12&lt;&gt;"", Source!AD12," ")</f>
        <v xml:space="preserve"> </v>
      </c>
      <c r="I277" s="12"/>
      <c r="J277" s="12"/>
      <c r="K277" s="12"/>
      <c r="L277" s="11"/>
    </row>
    <row r="278" spans="1:12" ht="14.25" customHeight="1" x14ac:dyDescent="0.2">
      <c r="A278" s="12"/>
      <c r="B278" s="12"/>
      <c r="C278" s="81" t="s">
        <v>406</v>
      </c>
      <c r="D278" s="81"/>
      <c r="E278" s="81"/>
      <c r="F278" s="81"/>
      <c r="G278" s="81"/>
      <c r="H278" s="12"/>
      <c r="I278" s="12"/>
      <c r="J278" s="12"/>
      <c r="K278" s="12"/>
      <c r="L278" s="11"/>
    </row>
  </sheetData>
  <mergeCells count="187">
    <mergeCell ref="H1:K1"/>
    <mergeCell ref="H2:K2"/>
    <mergeCell ref="H3:K3"/>
    <mergeCell ref="H4:K4"/>
    <mergeCell ref="H5:K5"/>
    <mergeCell ref="H6:K6"/>
    <mergeCell ref="A8:K8"/>
    <mergeCell ref="A10:L10"/>
    <mergeCell ref="B11:K11"/>
    <mergeCell ref="D21:E21"/>
    <mergeCell ref="C16:G16"/>
    <mergeCell ref="C17:G17"/>
    <mergeCell ref="D24:E24"/>
    <mergeCell ref="D25:E25"/>
    <mergeCell ref="D26:E26"/>
    <mergeCell ref="D27:E27"/>
    <mergeCell ref="A29:A33"/>
    <mergeCell ref="B29:B33"/>
    <mergeCell ref="C29:C33"/>
    <mergeCell ref="D29:D33"/>
    <mergeCell ref="E29:G32"/>
    <mergeCell ref="C54:H54"/>
    <mergeCell ref="I54:J54"/>
    <mergeCell ref="C57:H57"/>
    <mergeCell ref="I57:J57"/>
    <mergeCell ref="C70:H70"/>
    <mergeCell ref="I70:J70"/>
    <mergeCell ref="H29:J32"/>
    <mergeCell ref="K29:K33"/>
    <mergeCell ref="L29:L33"/>
    <mergeCell ref="A36:L36"/>
    <mergeCell ref="C51:H51"/>
    <mergeCell ref="I51:J51"/>
    <mergeCell ref="C82:H82"/>
    <mergeCell ref="I82:J82"/>
    <mergeCell ref="C84:H84"/>
    <mergeCell ref="I84:J84"/>
    <mergeCell ref="C98:H98"/>
    <mergeCell ref="I98:J98"/>
    <mergeCell ref="C73:H73"/>
    <mergeCell ref="I73:J73"/>
    <mergeCell ref="C76:H76"/>
    <mergeCell ref="I76:J76"/>
    <mergeCell ref="C79:H79"/>
    <mergeCell ref="I79:J79"/>
    <mergeCell ref="C133:H133"/>
    <mergeCell ref="I133:J133"/>
    <mergeCell ref="C135:H135"/>
    <mergeCell ref="I135:J135"/>
    <mergeCell ref="C137:H137"/>
    <mergeCell ref="C138:H138"/>
    <mergeCell ref="C100:H100"/>
    <mergeCell ref="I100:J100"/>
    <mergeCell ref="C116:H116"/>
    <mergeCell ref="I116:J116"/>
    <mergeCell ref="C119:H119"/>
    <mergeCell ref="I119:J119"/>
    <mergeCell ref="C145:H145"/>
    <mergeCell ref="C146:H146"/>
    <mergeCell ref="C147:H147"/>
    <mergeCell ref="C148:H148"/>
    <mergeCell ref="C149:H149"/>
    <mergeCell ref="C150:H150"/>
    <mergeCell ref="C139:H139"/>
    <mergeCell ref="C140:H140"/>
    <mergeCell ref="C141:H141"/>
    <mergeCell ref="C142:H142"/>
    <mergeCell ref="C143:H143"/>
    <mergeCell ref="C144:H144"/>
    <mergeCell ref="C157:H157"/>
    <mergeCell ref="C158:H158"/>
    <mergeCell ref="C159:H159"/>
    <mergeCell ref="C160:H160"/>
    <mergeCell ref="C161:H161"/>
    <mergeCell ref="C162:H162"/>
    <mergeCell ref="C151:H151"/>
    <mergeCell ref="C152:H152"/>
    <mergeCell ref="C153:H153"/>
    <mergeCell ref="C154:H154"/>
    <mergeCell ref="C155:H155"/>
    <mergeCell ref="C156:H156"/>
    <mergeCell ref="C170:H170"/>
    <mergeCell ref="C172:H172"/>
    <mergeCell ref="C173:H173"/>
    <mergeCell ref="C174:H174"/>
    <mergeCell ref="C175:H175"/>
    <mergeCell ref="C176:H176"/>
    <mergeCell ref="C163:I163"/>
    <mergeCell ref="C164:I164"/>
    <mergeCell ref="C165:I165"/>
    <mergeCell ref="C166:I166"/>
    <mergeCell ref="C167:I167"/>
    <mergeCell ref="C168:I168"/>
    <mergeCell ref="C183:H183"/>
    <mergeCell ref="C184:H184"/>
    <mergeCell ref="C185:H185"/>
    <mergeCell ref="C186:H186"/>
    <mergeCell ref="C187:H187"/>
    <mergeCell ref="C188:H188"/>
    <mergeCell ref="C177:H177"/>
    <mergeCell ref="C178:H178"/>
    <mergeCell ref="C179:H179"/>
    <mergeCell ref="C180:H180"/>
    <mergeCell ref="C181:H181"/>
    <mergeCell ref="C182:H182"/>
    <mergeCell ref="C196:H196"/>
    <mergeCell ref="C197:H197"/>
    <mergeCell ref="C198:H198"/>
    <mergeCell ref="C199:H199"/>
    <mergeCell ref="C200:H200"/>
    <mergeCell ref="C201:H201"/>
    <mergeCell ref="C189:H189"/>
    <mergeCell ref="C190:H190"/>
    <mergeCell ref="C192:H192"/>
    <mergeCell ref="C193:H193"/>
    <mergeCell ref="C194:H194"/>
    <mergeCell ref="C195:H195"/>
    <mergeCell ref="C208:H208"/>
    <mergeCell ref="C209:H209"/>
    <mergeCell ref="C210:H210"/>
    <mergeCell ref="C212:H212"/>
    <mergeCell ref="C213:H213"/>
    <mergeCell ref="C214:H214"/>
    <mergeCell ref="C202:H202"/>
    <mergeCell ref="C203:H203"/>
    <mergeCell ref="C204:H204"/>
    <mergeCell ref="C205:H205"/>
    <mergeCell ref="C206:H206"/>
    <mergeCell ref="C207:H207"/>
    <mergeCell ref="C222:H222"/>
    <mergeCell ref="C223:H223"/>
    <mergeCell ref="C224:H224"/>
    <mergeCell ref="C225:H225"/>
    <mergeCell ref="C226:H226"/>
    <mergeCell ref="C227:H227"/>
    <mergeCell ref="C215:H215"/>
    <mergeCell ref="C217:H217"/>
    <mergeCell ref="C218:H218"/>
    <mergeCell ref="C219:H219"/>
    <mergeCell ref="C220:H220"/>
    <mergeCell ref="C221:H221"/>
    <mergeCell ref="C234:H234"/>
    <mergeCell ref="C235:H235"/>
    <mergeCell ref="C236:H236"/>
    <mergeCell ref="C237:H237"/>
    <mergeCell ref="C238:H238"/>
    <mergeCell ref="C240:H240"/>
    <mergeCell ref="C228:H228"/>
    <mergeCell ref="C229:H229"/>
    <mergeCell ref="C230:H230"/>
    <mergeCell ref="C231:H231"/>
    <mergeCell ref="C232:H232"/>
    <mergeCell ref="C233:H233"/>
    <mergeCell ref="C247:H247"/>
    <mergeCell ref="C248:H248"/>
    <mergeCell ref="C249:H249"/>
    <mergeCell ref="C250:H250"/>
    <mergeCell ref="C251:H251"/>
    <mergeCell ref="C252:H252"/>
    <mergeCell ref="C241:H241"/>
    <mergeCell ref="C242:H242"/>
    <mergeCell ref="C243:H243"/>
    <mergeCell ref="C244:H244"/>
    <mergeCell ref="C245:H245"/>
    <mergeCell ref="C246:H246"/>
    <mergeCell ref="C259:H259"/>
    <mergeCell ref="C260:H260"/>
    <mergeCell ref="C261:H261"/>
    <mergeCell ref="C262:H262"/>
    <mergeCell ref="C263:H263"/>
    <mergeCell ref="C264:H264"/>
    <mergeCell ref="C253:H253"/>
    <mergeCell ref="C254:H254"/>
    <mergeCell ref="C255:H255"/>
    <mergeCell ref="C256:H256"/>
    <mergeCell ref="C257:H257"/>
    <mergeCell ref="C258:H258"/>
    <mergeCell ref="A274:B274"/>
    <mergeCell ref="C275:G275"/>
    <mergeCell ref="A277:B277"/>
    <mergeCell ref="C278:G278"/>
    <mergeCell ref="C265:H265"/>
    <mergeCell ref="C266:H266"/>
    <mergeCell ref="C267:F267"/>
    <mergeCell ref="C268:F268"/>
    <mergeCell ref="C270:I270"/>
    <mergeCell ref="C271:I271"/>
  </mergeCells>
  <pageMargins left="0.4" right="0.2" top="0.2" bottom="0.4" header="0.2" footer="0.2"/>
  <pageSetup paperSize="9" scale="49" fitToHeight="0" orientation="portrait" verticalDpi="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82"/>
  <sheetViews>
    <sheetView workbookViewId="0">
      <selection activeCell="A178" sqref="A178:AN178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63193</v>
      </c>
      <c r="M1">
        <v>10</v>
      </c>
      <c r="N1">
        <v>11</v>
      </c>
      <c r="O1">
        <v>6</v>
      </c>
      <c r="P1">
        <v>5</v>
      </c>
      <c r="Q1">
        <v>6</v>
      </c>
    </row>
    <row r="12" spans="1:133" x14ac:dyDescent="0.2">
      <c r="A12" s="1">
        <v>1</v>
      </c>
      <c r="B12" s="1">
        <v>177</v>
      </c>
      <c r="C12" s="1">
        <v>0</v>
      </c>
      <c r="D12" s="1">
        <f>ROW(A123)</f>
        <v>123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6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3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0</v>
      </c>
      <c r="BQ12" s="1">
        <v>0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422051848</v>
      </c>
      <c r="CI12" s="1" t="s">
        <v>3</v>
      </c>
      <c r="CJ12" s="1" t="s">
        <v>3</v>
      </c>
      <c r="CK12" s="1">
        <v>2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B123</f>
        <v>177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объект_(Копия)_(Копия)_(Копия)_(Копия)_(Копия)_(Копия)_(Копия)</v>
      </c>
      <c r="G18" s="2" t="str">
        <f t="shared" si="0"/>
        <v>Благоустройство детского парка в д. Ильдубайкино</v>
      </c>
      <c r="H18" s="2"/>
      <c r="I18" s="2"/>
      <c r="J18" s="2"/>
      <c r="K18" s="2"/>
      <c r="L18" s="2"/>
      <c r="M18" s="2"/>
      <c r="N18" s="2"/>
      <c r="O18" s="2">
        <f t="shared" ref="O18:AT18" si="1">O123</f>
        <v>13005</v>
      </c>
      <c r="P18" s="2">
        <f t="shared" si="1"/>
        <v>10850</v>
      </c>
      <c r="Q18" s="2">
        <f t="shared" si="1"/>
        <v>1540</v>
      </c>
      <c r="R18" s="2">
        <f t="shared" si="1"/>
        <v>86</v>
      </c>
      <c r="S18" s="2">
        <f t="shared" si="1"/>
        <v>615</v>
      </c>
      <c r="T18" s="2">
        <f t="shared" si="1"/>
        <v>0</v>
      </c>
      <c r="U18" s="2">
        <f t="shared" si="1"/>
        <v>68.476216000000008</v>
      </c>
      <c r="V18" s="2">
        <f t="shared" si="1"/>
        <v>5.7678919999999998</v>
      </c>
      <c r="W18" s="2">
        <f t="shared" si="1"/>
        <v>0</v>
      </c>
      <c r="X18" s="2">
        <f t="shared" si="1"/>
        <v>728</v>
      </c>
      <c r="Y18" s="2">
        <f t="shared" si="1"/>
        <v>400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14133</v>
      </c>
      <c r="AS18" s="2">
        <f t="shared" si="1"/>
        <v>14133</v>
      </c>
      <c r="AT18" s="2">
        <f t="shared" si="1"/>
        <v>0</v>
      </c>
      <c r="AU18" s="2">
        <f t="shared" ref="AU18:BZ18" si="2">AU123</f>
        <v>0</v>
      </c>
      <c r="AV18" s="2">
        <f t="shared" si="2"/>
        <v>10850</v>
      </c>
      <c r="AW18" s="2">
        <f t="shared" si="2"/>
        <v>10850</v>
      </c>
      <c r="AX18" s="2">
        <f t="shared" si="2"/>
        <v>0</v>
      </c>
      <c r="AY18" s="2">
        <f t="shared" si="2"/>
        <v>10850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CA123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DG123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EM123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FS123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ROW(A91)</f>
        <v>91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53679810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">
      <c r="A22" s="2">
        <v>52</v>
      </c>
      <c r="B22" s="2">
        <f t="shared" ref="B22:G22" si="7">B91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O91</f>
        <v>13005</v>
      </c>
      <c r="P22" s="2">
        <f t="shared" si="8"/>
        <v>10850</v>
      </c>
      <c r="Q22" s="2">
        <f t="shared" si="8"/>
        <v>1540</v>
      </c>
      <c r="R22" s="2">
        <f t="shared" si="8"/>
        <v>86</v>
      </c>
      <c r="S22" s="2">
        <f t="shared" si="8"/>
        <v>615</v>
      </c>
      <c r="T22" s="2">
        <f t="shared" si="8"/>
        <v>0</v>
      </c>
      <c r="U22" s="2">
        <f t="shared" si="8"/>
        <v>68.476216000000008</v>
      </c>
      <c r="V22" s="2">
        <f t="shared" si="8"/>
        <v>5.7678919999999998</v>
      </c>
      <c r="W22" s="2">
        <f t="shared" si="8"/>
        <v>0</v>
      </c>
      <c r="X22" s="2">
        <f t="shared" si="8"/>
        <v>728</v>
      </c>
      <c r="Y22" s="2">
        <f t="shared" si="8"/>
        <v>400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14133</v>
      </c>
      <c r="AS22" s="2">
        <f t="shared" si="8"/>
        <v>14133</v>
      </c>
      <c r="AT22" s="2">
        <f t="shared" si="8"/>
        <v>0</v>
      </c>
      <c r="AU22" s="2">
        <f t="shared" ref="AU22:BZ22" si="9">AU91</f>
        <v>0</v>
      </c>
      <c r="AV22" s="2">
        <f t="shared" si="9"/>
        <v>10850</v>
      </c>
      <c r="AW22" s="2">
        <f t="shared" si="9"/>
        <v>10850</v>
      </c>
      <c r="AX22" s="2">
        <f t="shared" si="9"/>
        <v>0</v>
      </c>
      <c r="AY22" s="2">
        <f t="shared" si="9"/>
        <v>10850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CA91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DG91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EM91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FS91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 s="1">
        <v>4</v>
      </c>
      <c r="B24" s="1">
        <v>1</v>
      </c>
      <c r="C24" s="1"/>
      <c r="D24" s="1">
        <f>ROW(A51)</f>
        <v>51</v>
      </c>
      <c r="E24" s="1"/>
      <c r="F24" s="1" t="s">
        <v>13</v>
      </c>
      <c r="G24" s="1" t="s">
        <v>14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53679810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 x14ac:dyDescent="0.2">
      <c r="A26" s="2">
        <v>52</v>
      </c>
      <c r="B26" s="2">
        <f t="shared" ref="B26:G26" si="14">B51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Беседка</v>
      </c>
      <c r="H26" s="2"/>
      <c r="I26" s="2"/>
      <c r="J26" s="2"/>
      <c r="K26" s="2"/>
      <c r="L26" s="2"/>
      <c r="M26" s="2"/>
      <c r="N26" s="2"/>
      <c r="O26" s="2">
        <f t="shared" ref="O26:AT26" si="15">O51</f>
        <v>13005</v>
      </c>
      <c r="P26" s="2">
        <f t="shared" si="15"/>
        <v>10850</v>
      </c>
      <c r="Q26" s="2">
        <f t="shared" si="15"/>
        <v>1540</v>
      </c>
      <c r="R26" s="2">
        <f t="shared" si="15"/>
        <v>86</v>
      </c>
      <c r="S26" s="2">
        <f t="shared" si="15"/>
        <v>615</v>
      </c>
      <c r="T26" s="2">
        <f t="shared" si="15"/>
        <v>0</v>
      </c>
      <c r="U26" s="2">
        <f t="shared" si="15"/>
        <v>68.476216000000008</v>
      </c>
      <c r="V26" s="2">
        <f t="shared" si="15"/>
        <v>5.7678919999999998</v>
      </c>
      <c r="W26" s="2">
        <f t="shared" si="15"/>
        <v>0</v>
      </c>
      <c r="X26" s="2">
        <f t="shared" si="15"/>
        <v>728</v>
      </c>
      <c r="Y26" s="2">
        <f t="shared" si="15"/>
        <v>400</v>
      </c>
      <c r="Z26" s="2">
        <f t="shared" si="15"/>
        <v>0</v>
      </c>
      <c r="AA26" s="2">
        <f t="shared" si="15"/>
        <v>0</v>
      </c>
      <c r="AB26" s="2">
        <f t="shared" si="15"/>
        <v>13005</v>
      </c>
      <c r="AC26" s="2">
        <f t="shared" si="15"/>
        <v>10850</v>
      </c>
      <c r="AD26" s="2">
        <f t="shared" si="15"/>
        <v>1540</v>
      </c>
      <c r="AE26" s="2">
        <f t="shared" si="15"/>
        <v>86</v>
      </c>
      <c r="AF26" s="2">
        <f t="shared" si="15"/>
        <v>615</v>
      </c>
      <c r="AG26" s="2">
        <f t="shared" si="15"/>
        <v>0</v>
      </c>
      <c r="AH26" s="2">
        <f t="shared" si="15"/>
        <v>68.476216000000008</v>
      </c>
      <c r="AI26" s="2">
        <f t="shared" si="15"/>
        <v>5.7678919999999998</v>
      </c>
      <c r="AJ26" s="2">
        <f t="shared" si="15"/>
        <v>0</v>
      </c>
      <c r="AK26" s="2">
        <f t="shared" si="15"/>
        <v>728</v>
      </c>
      <c r="AL26" s="2">
        <f t="shared" si="15"/>
        <v>400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14133</v>
      </c>
      <c r="AS26" s="2">
        <f t="shared" si="15"/>
        <v>14133</v>
      </c>
      <c r="AT26" s="2">
        <f t="shared" si="15"/>
        <v>0</v>
      </c>
      <c r="AU26" s="2">
        <f t="shared" ref="AU26:BZ26" si="16">AU51</f>
        <v>0</v>
      </c>
      <c r="AV26" s="2">
        <f t="shared" si="16"/>
        <v>10850</v>
      </c>
      <c r="AW26" s="2">
        <f t="shared" si="16"/>
        <v>10850</v>
      </c>
      <c r="AX26" s="2">
        <f t="shared" si="16"/>
        <v>0</v>
      </c>
      <c r="AY26" s="2">
        <f t="shared" si="16"/>
        <v>10850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CA51</f>
        <v>14133</v>
      </c>
      <c r="CB26" s="2">
        <f t="shared" si="17"/>
        <v>14133</v>
      </c>
      <c r="CC26" s="2">
        <f t="shared" si="17"/>
        <v>0</v>
      </c>
      <c r="CD26" s="2">
        <f t="shared" si="17"/>
        <v>0</v>
      </c>
      <c r="CE26" s="2">
        <f t="shared" si="17"/>
        <v>10850</v>
      </c>
      <c r="CF26" s="2">
        <f t="shared" si="17"/>
        <v>10850</v>
      </c>
      <c r="CG26" s="2">
        <f t="shared" si="17"/>
        <v>0</v>
      </c>
      <c r="CH26" s="2">
        <f t="shared" si="17"/>
        <v>10850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DG51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EM51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FS51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 x14ac:dyDescent="0.2">
      <c r="A28">
        <v>17</v>
      </c>
      <c r="B28">
        <v>1</v>
      </c>
      <c r="C28">
        <f>ROW(SmtRes!A8)</f>
        <v>8</v>
      </c>
      <c r="D28">
        <f>ROW(EtalonRes!A8)</f>
        <v>8</v>
      </c>
      <c r="E28" t="s">
        <v>15</v>
      </c>
      <c r="F28" t="s">
        <v>16</v>
      </c>
      <c r="G28" t="s">
        <v>17</v>
      </c>
      <c r="H28" t="s">
        <v>18</v>
      </c>
      <c r="I28">
        <f>ROUND(7/100,7)</f>
        <v>7.0000000000000007E-2</v>
      </c>
      <c r="J28">
        <v>0</v>
      </c>
      <c r="K28">
        <f>ROUND(7/100,7)</f>
        <v>7.0000000000000007E-2</v>
      </c>
      <c r="O28">
        <f t="shared" ref="O28:O49" si="21">ROUND(CP28,0)</f>
        <v>277</v>
      </c>
      <c r="P28">
        <f t="shared" ref="P28:P49" si="22">ROUND(CQ28*I28,0)</f>
        <v>16</v>
      </c>
      <c r="Q28">
        <f t="shared" ref="Q28:Q49" si="23">ROUND(CR28*I28,0)</f>
        <v>240</v>
      </c>
      <c r="R28">
        <f t="shared" ref="R28:R49" si="24">ROUND(CS28*I28,0)</f>
        <v>20</v>
      </c>
      <c r="S28">
        <f t="shared" ref="S28:S49" si="25">ROUND(CT28*I28,0)</f>
        <v>21</v>
      </c>
      <c r="T28">
        <f t="shared" ref="T28:T49" si="26">ROUND(CU28*I28,0)</f>
        <v>0</v>
      </c>
      <c r="U28">
        <f t="shared" ref="U28:U49" si="27">CV28*I28</f>
        <v>2.4948000000000001</v>
      </c>
      <c r="V28">
        <f t="shared" ref="V28:V49" si="28">CW28*I28</f>
        <v>1.5736000000000001</v>
      </c>
      <c r="W28">
        <f t="shared" ref="W28:W49" si="29">ROUND(CX28*I28,0)</f>
        <v>0</v>
      </c>
      <c r="X28">
        <f t="shared" ref="X28:X49" si="30">ROUND(CY28,0)</f>
        <v>38</v>
      </c>
      <c r="Y28">
        <f t="shared" ref="Y28:Y49" si="31">ROUND(CZ28,0)</f>
        <v>25</v>
      </c>
      <c r="AA28">
        <v>53679809</v>
      </c>
      <c r="AB28">
        <f t="shared" ref="AB28:AB49" si="32">ROUND((AC28+AD28+AF28),0)</f>
        <v>3968</v>
      </c>
      <c r="AC28">
        <f t="shared" ref="AC28:AC49" si="33">ROUND((ES28),0)</f>
        <v>233</v>
      </c>
      <c r="AD28">
        <f t="shared" ref="AD28:AD49" si="34">ROUND((((ET28)-(EU28))+AE28),0)</f>
        <v>3431</v>
      </c>
      <c r="AE28">
        <f t="shared" ref="AE28:AE49" si="35">ROUND((EU28),0)</f>
        <v>281</v>
      </c>
      <c r="AF28">
        <f t="shared" ref="AF28:AF49" si="36">ROUND((EV28),0)</f>
        <v>304</v>
      </c>
      <c r="AG28">
        <f t="shared" ref="AG28:AG49" si="37">ROUND((AP28),0)</f>
        <v>0</v>
      </c>
      <c r="AH28">
        <f t="shared" ref="AH28:AH49" si="38">(EW28)</f>
        <v>35.64</v>
      </c>
      <c r="AI28">
        <f t="shared" ref="AI28:AI49" si="39">(EX28)</f>
        <v>22.48</v>
      </c>
      <c r="AJ28">
        <f t="shared" ref="AJ28:AJ49" si="40">(AS28)</f>
        <v>0</v>
      </c>
      <c r="AK28">
        <v>3968.08</v>
      </c>
      <c r="AL28">
        <v>233.1</v>
      </c>
      <c r="AM28">
        <v>3430.97</v>
      </c>
      <c r="AN28">
        <v>281.18</v>
      </c>
      <c r="AO28">
        <v>304.01</v>
      </c>
      <c r="AP28">
        <v>0</v>
      </c>
      <c r="AQ28">
        <v>35.64</v>
      </c>
      <c r="AR28">
        <v>22.48</v>
      </c>
      <c r="AS28">
        <v>0</v>
      </c>
      <c r="AT28">
        <v>93</v>
      </c>
      <c r="AU28">
        <v>62</v>
      </c>
      <c r="AV28">
        <v>1</v>
      </c>
      <c r="AW28">
        <v>1</v>
      </c>
      <c r="AZ28">
        <v>1</v>
      </c>
      <c r="BA28">
        <v>32.909999999999997</v>
      </c>
      <c r="BB28">
        <v>1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19</v>
      </c>
      <c r="BM28">
        <v>9001</v>
      </c>
      <c r="BN28">
        <v>0</v>
      </c>
      <c r="BO28" t="s">
        <v>3</v>
      </c>
      <c r="BP28">
        <v>0</v>
      </c>
      <c r="BQ28">
        <v>2</v>
      </c>
      <c r="BR28">
        <v>0</v>
      </c>
      <c r="BS28">
        <v>32.909999999999997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93</v>
      </c>
      <c r="CA28">
        <v>62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ref="CP28:CP49" si="41">(P28+Q28+S28)</f>
        <v>277</v>
      </c>
      <c r="CQ28">
        <f t="shared" ref="CQ28:CQ49" si="42">AC28*BC28</f>
        <v>233</v>
      </c>
      <c r="CR28">
        <f t="shared" ref="CR28:CR49" si="43">AD28*BB28</f>
        <v>3431</v>
      </c>
      <c r="CS28">
        <f t="shared" ref="CS28:CS49" si="44">AE28</f>
        <v>281</v>
      </c>
      <c r="CT28">
        <f t="shared" ref="CT28:CT49" si="45">AF28</f>
        <v>304</v>
      </c>
      <c r="CU28">
        <f t="shared" ref="CU28:CU49" si="46">AG28</f>
        <v>0</v>
      </c>
      <c r="CV28">
        <f t="shared" ref="CV28:CV49" si="47">AH28</f>
        <v>35.64</v>
      </c>
      <c r="CW28">
        <f t="shared" ref="CW28:CW49" si="48">AI28</f>
        <v>22.48</v>
      </c>
      <c r="CX28">
        <f t="shared" ref="CX28:CX49" si="49">AJ28</f>
        <v>0</v>
      </c>
      <c r="CY28">
        <f t="shared" ref="CY28:CY49" si="50">(((S28+R28)*AT28)/100)</f>
        <v>38.130000000000003</v>
      </c>
      <c r="CZ28">
        <f t="shared" ref="CZ28:CZ49" si="51">(((S28+R28)*AU28)/100)</f>
        <v>25.42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18</v>
      </c>
      <c r="DW28" t="s">
        <v>18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53217556</v>
      </c>
      <c r="EF28">
        <v>2</v>
      </c>
      <c r="EG28" t="s">
        <v>20</v>
      </c>
      <c r="EH28">
        <v>9</v>
      </c>
      <c r="EI28" t="s">
        <v>21</v>
      </c>
      <c r="EJ28">
        <v>1</v>
      </c>
      <c r="EK28">
        <v>9001</v>
      </c>
      <c r="EL28" t="s">
        <v>21</v>
      </c>
      <c r="EM28" t="s">
        <v>22</v>
      </c>
      <c r="EO28" t="s">
        <v>3</v>
      </c>
      <c r="EQ28">
        <v>0</v>
      </c>
      <c r="ER28">
        <v>3968.08</v>
      </c>
      <c r="ES28">
        <v>233.1</v>
      </c>
      <c r="ET28">
        <v>3430.97</v>
      </c>
      <c r="EU28">
        <v>281.18</v>
      </c>
      <c r="EV28">
        <v>304.01</v>
      </c>
      <c r="EW28">
        <v>35.64</v>
      </c>
      <c r="EX28">
        <v>22.48</v>
      </c>
      <c r="EY28">
        <v>0</v>
      </c>
      <c r="FQ28">
        <v>0</v>
      </c>
      <c r="FR28">
        <f t="shared" ref="FR28:FR49" si="52">ROUND(IF(BI28=3,GM28,0),0)</f>
        <v>0</v>
      </c>
      <c r="FS28">
        <v>0</v>
      </c>
      <c r="FX28">
        <v>93</v>
      </c>
      <c r="FY28">
        <v>62</v>
      </c>
      <c r="GA28" t="s">
        <v>3</v>
      </c>
      <c r="GD28">
        <v>1</v>
      </c>
      <c r="GF28">
        <v>-750081115</v>
      </c>
      <c r="GG28">
        <v>2</v>
      </c>
      <c r="GH28">
        <v>1</v>
      </c>
      <c r="GI28">
        <v>4</v>
      </c>
      <c r="GJ28">
        <v>0</v>
      </c>
      <c r="GK28">
        <v>0</v>
      </c>
      <c r="GL28">
        <f t="shared" ref="GL28:GL49" si="53">ROUND(IF(AND(BH28=3,BI28=3,FS28&lt;&gt;0),P28,0),0)</f>
        <v>0</v>
      </c>
      <c r="GM28">
        <f t="shared" ref="GM28:GM49" si="54">ROUND(O28+X28+Y28,0)+GX28</f>
        <v>340</v>
      </c>
      <c r="GN28">
        <f t="shared" ref="GN28:GN49" si="55">IF(OR(BI28=0,BI28=1),ROUND(O28+X28+Y28,0),0)</f>
        <v>340</v>
      </c>
      <c r="GO28">
        <f t="shared" ref="GO28:GO49" si="56">IF(BI28=2,ROUND(O28+X28+Y28,0),0)</f>
        <v>0</v>
      </c>
      <c r="GP28">
        <f t="shared" ref="GP28:GP49" si="57">IF(BI28=4,ROUND(O28+X28+Y28,0)+GX28,0)</f>
        <v>0</v>
      </c>
      <c r="GR28">
        <v>0</v>
      </c>
      <c r="GS28">
        <v>3</v>
      </c>
      <c r="GT28">
        <v>0</v>
      </c>
      <c r="GU28" t="s">
        <v>3</v>
      </c>
      <c r="GV28">
        <f t="shared" ref="GV28:GV49" si="58">ROUND((GT28),0)</f>
        <v>0</v>
      </c>
      <c r="GW28">
        <v>1</v>
      </c>
      <c r="GX28">
        <f t="shared" ref="GX28:GX49" si="59">ROUND(HC28*I28,0)</f>
        <v>0</v>
      </c>
      <c r="HA28">
        <v>0</v>
      </c>
      <c r="HB28">
        <v>0</v>
      </c>
      <c r="HC28">
        <f t="shared" ref="HC28:HC49" si="60">GV28*GW28</f>
        <v>0</v>
      </c>
      <c r="HE28" t="s">
        <v>3</v>
      </c>
      <c r="HF28" t="s">
        <v>3</v>
      </c>
      <c r="HI28">
        <f t="shared" ref="HI28:HI49" si="61">ROUND(R28*BS28,0)</f>
        <v>658</v>
      </c>
      <c r="HJ28">
        <f t="shared" ref="HJ28:HJ49" si="62">ROUND(S28*BA28,0)</f>
        <v>691</v>
      </c>
      <c r="HK28">
        <f t="shared" ref="HK28:HK49" si="63">ROUND((((HJ28+HI28)*AT28)/100),0)</f>
        <v>1255</v>
      </c>
      <c r="HL28">
        <f t="shared" ref="HL28:HL49" si="64">ROUND((((HJ28+HI28)*AU28)/100),0)</f>
        <v>836</v>
      </c>
      <c r="HM28" t="s">
        <v>3</v>
      </c>
      <c r="HN28" t="s">
        <v>23</v>
      </c>
      <c r="HO28" t="s">
        <v>24</v>
      </c>
      <c r="HP28" t="s">
        <v>21</v>
      </c>
      <c r="HQ28" t="s">
        <v>21</v>
      </c>
      <c r="IK28">
        <v>0</v>
      </c>
    </row>
    <row r="29" spans="1:245" x14ac:dyDescent="0.2">
      <c r="A29">
        <v>18</v>
      </c>
      <c r="B29">
        <v>1</v>
      </c>
      <c r="C29">
        <v>6</v>
      </c>
      <c r="E29" t="s">
        <v>25</v>
      </c>
      <c r="F29" t="s">
        <v>26</v>
      </c>
      <c r="G29" t="s">
        <v>27</v>
      </c>
      <c r="H29" t="s">
        <v>28</v>
      </c>
      <c r="I29">
        <f>I28*J29</f>
        <v>0.44379999999999997</v>
      </c>
      <c r="J29">
        <v>6.339999999999999</v>
      </c>
      <c r="K29">
        <v>6.34</v>
      </c>
      <c r="O29">
        <f t="shared" si="21"/>
        <v>0</v>
      </c>
      <c r="P29">
        <f t="shared" si="22"/>
        <v>0</v>
      </c>
      <c r="Q29">
        <f t="shared" si="23"/>
        <v>0</v>
      </c>
      <c r="R29">
        <f t="shared" si="24"/>
        <v>0</v>
      </c>
      <c r="S29">
        <f t="shared" si="25"/>
        <v>0</v>
      </c>
      <c r="T29">
        <f t="shared" si="26"/>
        <v>0</v>
      </c>
      <c r="U29">
        <f t="shared" si="27"/>
        <v>0</v>
      </c>
      <c r="V29">
        <f t="shared" si="28"/>
        <v>0</v>
      </c>
      <c r="W29">
        <f t="shared" si="29"/>
        <v>0</v>
      </c>
      <c r="X29">
        <f t="shared" si="30"/>
        <v>0</v>
      </c>
      <c r="Y29">
        <f t="shared" si="31"/>
        <v>0</v>
      </c>
      <c r="AA29">
        <v>53679809</v>
      </c>
      <c r="AB29">
        <f t="shared" si="32"/>
        <v>0</v>
      </c>
      <c r="AC29">
        <f t="shared" si="33"/>
        <v>0</v>
      </c>
      <c r="AD29">
        <f t="shared" si="34"/>
        <v>0</v>
      </c>
      <c r="AE29">
        <f t="shared" si="35"/>
        <v>0</v>
      </c>
      <c r="AF29">
        <f t="shared" si="36"/>
        <v>0</v>
      </c>
      <c r="AG29">
        <f t="shared" si="37"/>
        <v>0</v>
      </c>
      <c r="AH29">
        <f t="shared" si="38"/>
        <v>0</v>
      </c>
      <c r="AI29">
        <f t="shared" si="39"/>
        <v>0</v>
      </c>
      <c r="AJ29">
        <f t="shared" si="40"/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93</v>
      </c>
      <c r="AU29">
        <v>62</v>
      </c>
      <c r="AV29">
        <v>1</v>
      </c>
      <c r="AW29">
        <v>1</v>
      </c>
      <c r="AZ29">
        <v>1</v>
      </c>
      <c r="BA29">
        <v>1</v>
      </c>
      <c r="BB29">
        <v>1</v>
      </c>
      <c r="BC29">
        <v>1</v>
      </c>
      <c r="BD29" t="s">
        <v>3</v>
      </c>
      <c r="BE29" t="s">
        <v>3</v>
      </c>
      <c r="BF29" t="s">
        <v>3</v>
      </c>
      <c r="BG29" t="s">
        <v>3</v>
      </c>
      <c r="BH29">
        <v>3</v>
      </c>
      <c r="BI29">
        <v>1</v>
      </c>
      <c r="BJ29" t="s">
        <v>3</v>
      </c>
      <c r="BM29">
        <v>9001</v>
      </c>
      <c r="BN29">
        <v>0</v>
      </c>
      <c r="BO29" t="s">
        <v>3</v>
      </c>
      <c r="BP29">
        <v>0</v>
      </c>
      <c r="BQ29">
        <v>2</v>
      </c>
      <c r="BR29">
        <v>0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93</v>
      </c>
      <c r="CA29">
        <v>62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41"/>
        <v>0</v>
      </c>
      <c r="CQ29">
        <f t="shared" si="42"/>
        <v>0</v>
      </c>
      <c r="CR29">
        <f t="shared" si="43"/>
        <v>0</v>
      </c>
      <c r="CS29">
        <f t="shared" si="44"/>
        <v>0</v>
      </c>
      <c r="CT29">
        <f t="shared" si="45"/>
        <v>0</v>
      </c>
      <c r="CU29">
        <f t="shared" si="46"/>
        <v>0</v>
      </c>
      <c r="CV29">
        <f t="shared" si="47"/>
        <v>0</v>
      </c>
      <c r="CW29">
        <f t="shared" si="48"/>
        <v>0</v>
      </c>
      <c r="CX29">
        <f t="shared" si="49"/>
        <v>0</v>
      </c>
      <c r="CY29">
        <f t="shared" si="50"/>
        <v>0</v>
      </c>
      <c r="CZ29">
        <f t="shared" si="51"/>
        <v>0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1007</v>
      </c>
      <c r="DV29" t="s">
        <v>28</v>
      </c>
      <c r="DW29" t="s">
        <v>28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53217556</v>
      </c>
      <c r="EF29">
        <v>2</v>
      </c>
      <c r="EG29" t="s">
        <v>20</v>
      </c>
      <c r="EH29">
        <v>9</v>
      </c>
      <c r="EI29" t="s">
        <v>21</v>
      </c>
      <c r="EJ29">
        <v>1</v>
      </c>
      <c r="EK29">
        <v>9001</v>
      </c>
      <c r="EL29" t="s">
        <v>21</v>
      </c>
      <c r="EM29" t="s">
        <v>22</v>
      </c>
      <c r="EO29" t="s">
        <v>3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FQ29">
        <v>0</v>
      </c>
      <c r="FR29">
        <f t="shared" si="52"/>
        <v>0</v>
      </c>
      <c r="FS29">
        <v>0</v>
      </c>
      <c r="FX29">
        <v>93</v>
      </c>
      <c r="FY29">
        <v>62</v>
      </c>
      <c r="GA29" t="s">
        <v>3</v>
      </c>
      <c r="GD29">
        <v>1</v>
      </c>
      <c r="GF29">
        <v>-157982121</v>
      </c>
      <c r="GG29">
        <v>2</v>
      </c>
      <c r="GH29">
        <v>1</v>
      </c>
      <c r="GI29">
        <v>4</v>
      </c>
      <c r="GJ29">
        <v>0</v>
      </c>
      <c r="GK29">
        <v>0</v>
      </c>
      <c r="GL29">
        <f t="shared" si="53"/>
        <v>0</v>
      </c>
      <c r="GM29">
        <f t="shared" si="54"/>
        <v>0</v>
      </c>
      <c r="GN29">
        <f t="shared" si="55"/>
        <v>0</v>
      </c>
      <c r="GO29">
        <f t="shared" si="56"/>
        <v>0</v>
      </c>
      <c r="GP29">
        <f t="shared" si="57"/>
        <v>0</v>
      </c>
      <c r="GR29">
        <v>0</v>
      </c>
      <c r="GS29">
        <v>3</v>
      </c>
      <c r="GT29">
        <v>0</v>
      </c>
      <c r="GU29" t="s">
        <v>3</v>
      </c>
      <c r="GV29">
        <f t="shared" si="58"/>
        <v>0</v>
      </c>
      <c r="GW29">
        <v>1</v>
      </c>
      <c r="GX29">
        <f t="shared" si="59"/>
        <v>0</v>
      </c>
      <c r="HA29">
        <v>0</v>
      </c>
      <c r="HB29">
        <v>0</v>
      </c>
      <c r="HC29">
        <f t="shared" si="60"/>
        <v>0</v>
      </c>
      <c r="HE29" t="s">
        <v>3</v>
      </c>
      <c r="HF29" t="s">
        <v>3</v>
      </c>
      <c r="HI29">
        <f t="shared" si="61"/>
        <v>0</v>
      </c>
      <c r="HJ29">
        <f t="shared" si="62"/>
        <v>0</v>
      </c>
      <c r="HK29">
        <f t="shared" si="63"/>
        <v>0</v>
      </c>
      <c r="HL29">
        <f t="shared" si="64"/>
        <v>0</v>
      </c>
      <c r="HM29" t="s">
        <v>3</v>
      </c>
      <c r="HN29" t="s">
        <v>23</v>
      </c>
      <c r="HO29" t="s">
        <v>24</v>
      </c>
      <c r="HP29" t="s">
        <v>21</v>
      </c>
      <c r="HQ29" t="s">
        <v>21</v>
      </c>
      <c r="IK29">
        <v>0</v>
      </c>
    </row>
    <row r="30" spans="1:245" x14ac:dyDescent="0.2">
      <c r="A30">
        <v>18</v>
      </c>
      <c r="B30">
        <v>1</v>
      </c>
      <c r="C30">
        <v>7</v>
      </c>
      <c r="E30" t="s">
        <v>29</v>
      </c>
      <c r="F30" t="s">
        <v>30</v>
      </c>
      <c r="G30" t="s">
        <v>31</v>
      </c>
      <c r="H30" t="s">
        <v>32</v>
      </c>
      <c r="I30">
        <f>I28*J30</f>
        <v>7</v>
      </c>
      <c r="J30">
        <v>99.999999999999986</v>
      </c>
      <c r="K30">
        <v>100</v>
      </c>
      <c r="O30">
        <f t="shared" si="21"/>
        <v>0</v>
      </c>
      <c r="P30">
        <f t="shared" si="22"/>
        <v>0</v>
      </c>
      <c r="Q30">
        <f t="shared" si="23"/>
        <v>0</v>
      </c>
      <c r="R30">
        <f t="shared" si="24"/>
        <v>0</v>
      </c>
      <c r="S30">
        <f t="shared" si="25"/>
        <v>0</v>
      </c>
      <c r="T30">
        <f t="shared" si="26"/>
        <v>0</v>
      </c>
      <c r="U30">
        <f t="shared" si="27"/>
        <v>0</v>
      </c>
      <c r="V30">
        <f t="shared" si="28"/>
        <v>0</v>
      </c>
      <c r="W30">
        <f t="shared" si="29"/>
        <v>0</v>
      </c>
      <c r="X30">
        <f t="shared" si="30"/>
        <v>0</v>
      </c>
      <c r="Y30">
        <f t="shared" si="31"/>
        <v>0</v>
      </c>
      <c r="AA30">
        <v>53679809</v>
      </c>
      <c r="AB30">
        <f t="shared" si="32"/>
        <v>0</v>
      </c>
      <c r="AC30">
        <f t="shared" si="33"/>
        <v>0</v>
      </c>
      <c r="AD30">
        <f t="shared" si="34"/>
        <v>0</v>
      </c>
      <c r="AE30">
        <f t="shared" si="35"/>
        <v>0</v>
      </c>
      <c r="AF30">
        <f t="shared" si="36"/>
        <v>0</v>
      </c>
      <c r="AG30">
        <f t="shared" si="37"/>
        <v>0</v>
      </c>
      <c r="AH30">
        <f t="shared" si="38"/>
        <v>0</v>
      </c>
      <c r="AI30">
        <f t="shared" si="39"/>
        <v>0</v>
      </c>
      <c r="AJ30">
        <f t="shared" si="40"/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93</v>
      </c>
      <c r="AU30">
        <v>62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3</v>
      </c>
      <c r="BI30">
        <v>1</v>
      </c>
      <c r="BJ30" t="s">
        <v>3</v>
      </c>
      <c r="BM30">
        <v>9001</v>
      </c>
      <c r="BN30">
        <v>0</v>
      </c>
      <c r="BO30" t="s">
        <v>3</v>
      </c>
      <c r="BP30">
        <v>0</v>
      </c>
      <c r="BQ30">
        <v>2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93</v>
      </c>
      <c r="CA30">
        <v>62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41"/>
        <v>0</v>
      </c>
      <c r="CQ30">
        <f t="shared" si="42"/>
        <v>0</v>
      </c>
      <c r="CR30">
        <f t="shared" si="43"/>
        <v>0</v>
      </c>
      <c r="CS30">
        <f t="shared" si="44"/>
        <v>0</v>
      </c>
      <c r="CT30">
        <f t="shared" si="45"/>
        <v>0</v>
      </c>
      <c r="CU30">
        <f t="shared" si="46"/>
        <v>0</v>
      </c>
      <c r="CV30">
        <f t="shared" si="47"/>
        <v>0</v>
      </c>
      <c r="CW30">
        <f t="shared" si="48"/>
        <v>0</v>
      </c>
      <c r="CX30">
        <f t="shared" si="49"/>
        <v>0</v>
      </c>
      <c r="CY30">
        <f t="shared" si="50"/>
        <v>0</v>
      </c>
      <c r="CZ30">
        <f t="shared" si="51"/>
        <v>0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32</v>
      </c>
      <c r="DW30" t="s">
        <v>32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53217556</v>
      </c>
      <c r="EF30">
        <v>2</v>
      </c>
      <c r="EG30" t="s">
        <v>20</v>
      </c>
      <c r="EH30">
        <v>9</v>
      </c>
      <c r="EI30" t="s">
        <v>21</v>
      </c>
      <c r="EJ30">
        <v>1</v>
      </c>
      <c r="EK30">
        <v>9001</v>
      </c>
      <c r="EL30" t="s">
        <v>21</v>
      </c>
      <c r="EM30" t="s">
        <v>22</v>
      </c>
      <c r="EO30" t="s">
        <v>3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FQ30">
        <v>0</v>
      </c>
      <c r="FR30">
        <f t="shared" si="52"/>
        <v>0</v>
      </c>
      <c r="FS30">
        <v>0</v>
      </c>
      <c r="FX30">
        <v>93</v>
      </c>
      <c r="FY30">
        <v>62</v>
      </c>
      <c r="GA30" t="s">
        <v>3</v>
      </c>
      <c r="GD30">
        <v>1</v>
      </c>
      <c r="GF30">
        <v>888337275</v>
      </c>
      <c r="GG30">
        <v>2</v>
      </c>
      <c r="GH30">
        <v>1</v>
      </c>
      <c r="GI30">
        <v>4</v>
      </c>
      <c r="GJ30">
        <v>0</v>
      </c>
      <c r="GK30">
        <v>0</v>
      </c>
      <c r="GL30">
        <f t="shared" si="53"/>
        <v>0</v>
      </c>
      <c r="GM30">
        <f t="shared" si="54"/>
        <v>0</v>
      </c>
      <c r="GN30">
        <f t="shared" si="55"/>
        <v>0</v>
      </c>
      <c r="GO30">
        <f t="shared" si="56"/>
        <v>0</v>
      </c>
      <c r="GP30">
        <f t="shared" si="57"/>
        <v>0</v>
      </c>
      <c r="GR30">
        <v>0</v>
      </c>
      <c r="GS30">
        <v>3</v>
      </c>
      <c r="GT30">
        <v>0</v>
      </c>
      <c r="GU30" t="s">
        <v>3</v>
      </c>
      <c r="GV30">
        <f t="shared" si="58"/>
        <v>0</v>
      </c>
      <c r="GW30">
        <v>1</v>
      </c>
      <c r="GX30">
        <f t="shared" si="59"/>
        <v>0</v>
      </c>
      <c r="HA30">
        <v>0</v>
      </c>
      <c r="HB30">
        <v>0</v>
      </c>
      <c r="HC30">
        <f t="shared" si="60"/>
        <v>0</v>
      </c>
      <c r="HE30" t="s">
        <v>3</v>
      </c>
      <c r="HF30" t="s">
        <v>3</v>
      </c>
      <c r="HI30">
        <f t="shared" si="61"/>
        <v>0</v>
      </c>
      <c r="HJ30">
        <f t="shared" si="62"/>
        <v>0</v>
      </c>
      <c r="HK30">
        <f t="shared" si="63"/>
        <v>0</v>
      </c>
      <c r="HL30">
        <f t="shared" si="64"/>
        <v>0</v>
      </c>
      <c r="HM30" t="s">
        <v>3</v>
      </c>
      <c r="HN30" t="s">
        <v>23</v>
      </c>
      <c r="HO30" t="s">
        <v>24</v>
      </c>
      <c r="HP30" t="s">
        <v>21</v>
      </c>
      <c r="HQ30" t="s">
        <v>21</v>
      </c>
      <c r="IK30">
        <v>0</v>
      </c>
    </row>
    <row r="31" spans="1:245" x14ac:dyDescent="0.2">
      <c r="A31">
        <v>17</v>
      </c>
      <c r="B31">
        <v>1</v>
      </c>
      <c r="E31" t="s">
        <v>33</v>
      </c>
      <c r="F31" t="s">
        <v>34</v>
      </c>
      <c r="G31" t="s">
        <v>35</v>
      </c>
      <c r="H31" t="s">
        <v>36</v>
      </c>
      <c r="I31">
        <f>ROUND(3*7,7)</f>
        <v>21</v>
      </c>
      <c r="J31">
        <v>0</v>
      </c>
      <c r="K31">
        <f>ROUND(3*7,7)</f>
        <v>21</v>
      </c>
      <c r="O31">
        <f t="shared" si="21"/>
        <v>861</v>
      </c>
      <c r="P31">
        <f t="shared" si="22"/>
        <v>861</v>
      </c>
      <c r="Q31">
        <f t="shared" si="23"/>
        <v>0</v>
      </c>
      <c r="R31">
        <f t="shared" si="24"/>
        <v>0</v>
      </c>
      <c r="S31">
        <f t="shared" si="25"/>
        <v>0</v>
      </c>
      <c r="T31">
        <f t="shared" si="26"/>
        <v>0</v>
      </c>
      <c r="U31">
        <f t="shared" si="27"/>
        <v>0</v>
      </c>
      <c r="V31">
        <f t="shared" si="28"/>
        <v>0</v>
      </c>
      <c r="W31">
        <f t="shared" si="29"/>
        <v>0</v>
      </c>
      <c r="X31">
        <f t="shared" si="30"/>
        <v>0</v>
      </c>
      <c r="Y31">
        <f t="shared" si="31"/>
        <v>0</v>
      </c>
      <c r="AA31">
        <v>53679809</v>
      </c>
      <c r="AB31">
        <f t="shared" si="32"/>
        <v>41</v>
      </c>
      <c r="AC31">
        <f t="shared" si="33"/>
        <v>41</v>
      </c>
      <c r="AD31">
        <f t="shared" si="34"/>
        <v>0</v>
      </c>
      <c r="AE31">
        <f t="shared" si="35"/>
        <v>0</v>
      </c>
      <c r="AF31">
        <f t="shared" si="36"/>
        <v>0</v>
      </c>
      <c r="AG31">
        <f t="shared" si="37"/>
        <v>0</v>
      </c>
      <c r="AH31">
        <f t="shared" si="38"/>
        <v>0</v>
      </c>
      <c r="AI31">
        <f t="shared" si="39"/>
        <v>0</v>
      </c>
      <c r="AJ31">
        <f t="shared" si="40"/>
        <v>0</v>
      </c>
      <c r="AK31">
        <v>41.02</v>
      </c>
      <c r="AL31">
        <v>41.02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1</v>
      </c>
      <c r="BJ31" t="s">
        <v>37</v>
      </c>
      <c r="BM31">
        <v>500001</v>
      </c>
      <c r="BN31">
        <v>0</v>
      </c>
      <c r="BO31" t="s">
        <v>3</v>
      </c>
      <c r="BP31">
        <v>0</v>
      </c>
      <c r="BQ31">
        <v>8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0</v>
      </c>
      <c r="CA31">
        <v>0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41"/>
        <v>861</v>
      </c>
      <c r="CQ31">
        <f t="shared" si="42"/>
        <v>41</v>
      </c>
      <c r="CR31">
        <f t="shared" si="43"/>
        <v>0</v>
      </c>
      <c r="CS31">
        <f t="shared" si="44"/>
        <v>0</v>
      </c>
      <c r="CT31">
        <f t="shared" si="45"/>
        <v>0</v>
      </c>
      <c r="CU31">
        <f t="shared" si="46"/>
        <v>0</v>
      </c>
      <c r="CV31">
        <f t="shared" si="47"/>
        <v>0</v>
      </c>
      <c r="CW31">
        <f t="shared" si="48"/>
        <v>0</v>
      </c>
      <c r="CX31">
        <f t="shared" si="49"/>
        <v>0</v>
      </c>
      <c r="CY31">
        <f t="shared" si="50"/>
        <v>0</v>
      </c>
      <c r="CZ31">
        <f t="shared" si="51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1003</v>
      </c>
      <c r="DV31" t="s">
        <v>36</v>
      </c>
      <c r="DW31" t="s">
        <v>36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53217489</v>
      </c>
      <c r="EF31">
        <v>8</v>
      </c>
      <c r="EG31" t="s">
        <v>38</v>
      </c>
      <c r="EH31">
        <v>0</v>
      </c>
      <c r="EI31" t="s">
        <v>3</v>
      </c>
      <c r="EJ31">
        <v>1</v>
      </c>
      <c r="EK31">
        <v>500001</v>
      </c>
      <c r="EL31" t="s">
        <v>39</v>
      </c>
      <c r="EM31" t="s">
        <v>40</v>
      </c>
      <c r="EO31" t="s">
        <v>3</v>
      </c>
      <c r="EQ31">
        <v>0</v>
      </c>
      <c r="ER31">
        <v>41.02</v>
      </c>
      <c r="ES31">
        <v>41.02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FQ31">
        <v>0</v>
      </c>
      <c r="FR31">
        <f t="shared" si="52"/>
        <v>0</v>
      </c>
      <c r="FS31">
        <v>0</v>
      </c>
      <c r="FX31">
        <v>0</v>
      </c>
      <c r="FY31">
        <v>0</v>
      </c>
      <c r="GA31" t="s">
        <v>3</v>
      </c>
      <c r="GD31">
        <v>1</v>
      </c>
      <c r="GF31">
        <v>1891844406</v>
      </c>
      <c r="GG31">
        <v>2</v>
      </c>
      <c r="GH31">
        <v>1</v>
      </c>
      <c r="GI31">
        <v>4</v>
      </c>
      <c r="GJ31">
        <v>0</v>
      </c>
      <c r="GK31">
        <v>0</v>
      </c>
      <c r="GL31">
        <f t="shared" si="53"/>
        <v>0</v>
      </c>
      <c r="GM31">
        <f t="shared" si="54"/>
        <v>861</v>
      </c>
      <c r="GN31">
        <f t="shared" si="55"/>
        <v>861</v>
      </c>
      <c r="GO31">
        <f t="shared" si="56"/>
        <v>0</v>
      </c>
      <c r="GP31">
        <f t="shared" si="57"/>
        <v>0</v>
      </c>
      <c r="GR31">
        <v>0</v>
      </c>
      <c r="GS31">
        <v>3</v>
      </c>
      <c r="GT31">
        <v>0</v>
      </c>
      <c r="GU31" t="s">
        <v>3</v>
      </c>
      <c r="GV31">
        <f t="shared" si="58"/>
        <v>0</v>
      </c>
      <c r="GW31">
        <v>1</v>
      </c>
      <c r="GX31">
        <f t="shared" si="59"/>
        <v>0</v>
      </c>
      <c r="HA31">
        <v>0</v>
      </c>
      <c r="HB31">
        <v>0</v>
      </c>
      <c r="HC31">
        <f t="shared" si="60"/>
        <v>0</v>
      </c>
      <c r="HE31" t="s">
        <v>3</v>
      </c>
      <c r="HF31" t="s">
        <v>3</v>
      </c>
      <c r="HI31">
        <f t="shared" si="61"/>
        <v>0</v>
      </c>
      <c r="HJ31">
        <f t="shared" si="62"/>
        <v>0</v>
      </c>
      <c r="HK31">
        <f t="shared" si="63"/>
        <v>0</v>
      </c>
      <c r="HL31">
        <f t="shared" si="64"/>
        <v>0</v>
      </c>
      <c r="HM31" t="s">
        <v>3</v>
      </c>
      <c r="HN31" t="s">
        <v>3</v>
      </c>
      <c r="HO31" t="s">
        <v>3</v>
      </c>
      <c r="HP31" t="s">
        <v>3</v>
      </c>
      <c r="HQ31" t="s">
        <v>3</v>
      </c>
      <c r="IK31">
        <v>0</v>
      </c>
    </row>
    <row r="32" spans="1:245" x14ac:dyDescent="0.2">
      <c r="A32">
        <v>17</v>
      </c>
      <c r="B32">
        <v>1</v>
      </c>
      <c r="E32" t="s">
        <v>41</v>
      </c>
      <c r="F32" t="s">
        <v>42</v>
      </c>
      <c r="G32" t="s">
        <v>43</v>
      </c>
      <c r="H32" t="s">
        <v>28</v>
      </c>
      <c r="I32">
        <f>ROUND(6.34*0.07,7)</f>
        <v>0.44379999999999997</v>
      </c>
      <c r="J32">
        <v>0</v>
      </c>
      <c r="K32">
        <f>ROUND(6.34*0.07,7)</f>
        <v>0.44379999999999997</v>
      </c>
      <c r="O32">
        <f t="shared" si="21"/>
        <v>217</v>
      </c>
      <c r="P32">
        <f t="shared" si="22"/>
        <v>217</v>
      </c>
      <c r="Q32">
        <f t="shared" si="23"/>
        <v>0</v>
      </c>
      <c r="R32">
        <f t="shared" si="24"/>
        <v>0</v>
      </c>
      <c r="S32">
        <f t="shared" si="25"/>
        <v>0</v>
      </c>
      <c r="T32">
        <f t="shared" si="26"/>
        <v>0</v>
      </c>
      <c r="U32">
        <f t="shared" si="27"/>
        <v>0</v>
      </c>
      <c r="V32">
        <f t="shared" si="28"/>
        <v>0</v>
      </c>
      <c r="W32">
        <f t="shared" si="29"/>
        <v>0</v>
      </c>
      <c r="X32">
        <f t="shared" si="30"/>
        <v>0</v>
      </c>
      <c r="Y32">
        <f t="shared" si="31"/>
        <v>0</v>
      </c>
      <c r="AA32">
        <v>53679809</v>
      </c>
      <c r="AB32">
        <f t="shared" si="32"/>
        <v>490</v>
      </c>
      <c r="AC32">
        <f t="shared" si="33"/>
        <v>490</v>
      </c>
      <c r="AD32">
        <f t="shared" si="34"/>
        <v>0</v>
      </c>
      <c r="AE32">
        <f t="shared" si="35"/>
        <v>0</v>
      </c>
      <c r="AF32">
        <f t="shared" si="36"/>
        <v>0</v>
      </c>
      <c r="AG32">
        <f t="shared" si="37"/>
        <v>0</v>
      </c>
      <c r="AH32">
        <f t="shared" si="38"/>
        <v>0</v>
      </c>
      <c r="AI32">
        <f t="shared" si="39"/>
        <v>0</v>
      </c>
      <c r="AJ32">
        <f t="shared" si="40"/>
        <v>0</v>
      </c>
      <c r="AK32">
        <v>490</v>
      </c>
      <c r="AL32">
        <v>490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3</v>
      </c>
      <c r="BI32">
        <v>1</v>
      </c>
      <c r="BJ32" t="s">
        <v>44</v>
      </c>
      <c r="BM32">
        <v>500001</v>
      </c>
      <c r="BN32">
        <v>0</v>
      </c>
      <c r="BO32" t="s">
        <v>3</v>
      </c>
      <c r="BP32">
        <v>0</v>
      </c>
      <c r="BQ32">
        <v>8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0</v>
      </c>
      <c r="CA32">
        <v>0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41"/>
        <v>217</v>
      </c>
      <c r="CQ32">
        <f t="shared" si="42"/>
        <v>490</v>
      </c>
      <c r="CR32">
        <f t="shared" si="43"/>
        <v>0</v>
      </c>
      <c r="CS32">
        <f t="shared" si="44"/>
        <v>0</v>
      </c>
      <c r="CT32">
        <f t="shared" si="45"/>
        <v>0</v>
      </c>
      <c r="CU32">
        <f t="shared" si="46"/>
        <v>0</v>
      </c>
      <c r="CV32">
        <f t="shared" si="47"/>
        <v>0</v>
      </c>
      <c r="CW32">
        <f t="shared" si="48"/>
        <v>0</v>
      </c>
      <c r="CX32">
        <f t="shared" si="49"/>
        <v>0</v>
      </c>
      <c r="CY32">
        <f t="shared" si="50"/>
        <v>0</v>
      </c>
      <c r="CZ32">
        <f t="shared" si="51"/>
        <v>0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1007</v>
      </c>
      <c r="DV32" t="s">
        <v>28</v>
      </c>
      <c r="DW32" t="s">
        <v>28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53217489</v>
      </c>
      <c r="EF32">
        <v>8</v>
      </c>
      <c r="EG32" t="s">
        <v>38</v>
      </c>
      <c r="EH32">
        <v>0</v>
      </c>
      <c r="EI32" t="s">
        <v>3</v>
      </c>
      <c r="EJ32">
        <v>1</v>
      </c>
      <c r="EK32">
        <v>500001</v>
      </c>
      <c r="EL32" t="s">
        <v>39</v>
      </c>
      <c r="EM32" t="s">
        <v>40</v>
      </c>
      <c r="EO32" t="s">
        <v>3</v>
      </c>
      <c r="EQ32">
        <v>0</v>
      </c>
      <c r="ER32">
        <v>490</v>
      </c>
      <c r="ES32">
        <v>490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FQ32">
        <v>0</v>
      </c>
      <c r="FR32">
        <f t="shared" si="52"/>
        <v>0</v>
      </c>
      <c r="FS32">
        <v>0</v>
      </c>
      <c r="FX32">
        <v>0</v>
      </c>
      <c r="FY32">
        <v>0</v>
      </c>
      <c r="GA32" t="s">
        <v>3</v>
      </c>
      <c r="GD32">
        <v>1</v>
      </c>
      <c r="GF32">
        <v>996297092</v>
      </c>
      <c r="GG32">
        <v>2</v>
      </c>
      <c r="GH32">
        <v>1</v>
      </c>
      <c r="GI32">
        <v>4</v>
      </c>
      <c r="GJ32">
        <v>0</v>
      </c>
      <c r="GK32">
        <v>0</v>
      </c>
      <c r="GL32">
        <f t="shared" si="53"/>
        <v>0</v>
      </c>
      <c r="GM32">
        <f t="shared" si="54"/>
        <v>217</v>
      </c>
      <c r="GN32">
        <f t="shared" si="55"/>
        <v>217</v>
      </c>
      <c r="GO32">
        <f t="shared" si="56"/>
        <v>0</v>
      </c>
      <c r="GP32">
        <f t="shared" si="57"/>
        <v>0</v>
      </c>
      <c r="GR32">
        <v>0</v>
      </c>
      <c r="GS32">
        <v>0</v>
      </c>
      <c r="GT32">
        <v>0</v>
      </c>
      <c r="GU32" t="s">
        <v>3</v>
      </c>
      <c r="GV32">
        <f t="shared" si="58"/>
        <v>0</v>
      </c>
      <c r="GW32">
        <v>1</v>
      </c>
      <c r="GX32">
        <f t="shared" si="59"/>
        <v>0</v>
      </c>
      <c r="HA32">
        <v>0</v>
      </c>
      <c r="HB32">
        <v>0</v>
      </c>
      <c r="HC32">
        <f t="shared" si="60"/>
        <v>0</v>
      </c>
      <c r="HE32" t="s">
        <v>3</v>
      </c>
      <c r="HF32" t="s">
        <v>3</v>
      </c>
      <c r="HI32">
        <f t="shared" si="61"/>
        <v>0</v>
      </c>
      <c r="HJ32">
        <f t="shared" si="62"/>
        <v>0</v>
      </c>
      <c r="HK32">
        <f t="shared" si="63"/>
        <v>0</v>
      </c>
      <c r="HL32">
        <f t="shared" si="64"/>
        <v>0</v>
      </c>
      <c r="HM32" t="s">
        <v>3</v>
      </c>
      <c r="HN32" t="s">
        <v>3</v>
      </c>
      <c r="HO32" t="s">
        <v>3</v>
      </c>
      <c r="HP32" t="s">
        <v>3</v>
      </c>
      <c r="HQ32" t="s">
        <v>3</v>
      </c>
      <c r="IK32">
        <v>0</v>
      </c>
    </row>
    <row r="33" spans="1:245" x14ac:dyDescent="0.2">
      <c r="A33">
        <v>17</v>
      </c>
      <c r="B33">
        <v>1</v>
      </c>
      <c r="C33">
        <f>ROW(SmtRes!A15)</f>
        <v>15</v>
      </c>
      <c r="D33">
        <f>ROW(EtalonRes!A18)</f>
        <v>18</v>
      </c>
      <c r="E33" t="s">
        <v>45</v>
      </c>
      <c r="F33" t="s">
        <v>46</v>
      </c>
      <c r="G33" t="s">
        <v>47</v>
      </c>
      <c r="H33" t="s">
        <v>48</v>
      </c>
      <c r="I33">
        <f>ROUND(3*5*2.3/100,7)</f>
        <v>0.34499999999999997</v>
      </c>
      <c r="J33">
        <v>0</v>
      </c>
      <c r="K33">
        <f>ROUND(3*5*2.3/100,7)</f>
        <v>0.34499999999999997</v>
      </c>
      <c r="O33">
        <f t="shared" si="21"/>
        <v>2703</v>
      </c>
      <c r="P33">
        <f t="shared" si="22"/>
        <v>2084</v>
      </c>
      <c r="Q33">
        <f t="shared" si="23"/>
        <v>192</v>
      </c>
      <c r="R33">
        <f t="shared" si="24"/>
        <v>23</v>
      </c>
      <c r="S33">
        <f t="shared" si="25"/>
        <v>427</v>
      </c>
      <c r="T33">
        <f t="shared" si="26"/>
        <v>0</v>
      </c>
      <c r="U33">
        <f t="shared" si="27"/>
        <v>47.61</v>
      </c>
      <c r="V33">
        <f t="shared" si="28"/>
        <v>1.7905500000000001</v>
      </c>
      <c r="W33">
        <f t="shared" si="29"/>
        <v>0</v>
      </c>
      <c r="X33">
        <f t="shared" si="30"/>
        <v>486</v>
      </c>
      <c r="Y33">
        <f t="shared" si="31"/>
        <v>248</v>
      </c>
      <c r="AA33">
        <v>53679809</v>
      </c>
      <c r="AB33">
        <f t="shared" si="32"/>
        <v>7837</v>
      </c>
      <c r="AC33">
        <f t="shared" si="33"/>
        <v>6042</v>
      </c>
      <c r="AD33">
        <f t="shared" si="34"/>
        <v>557</v>
      </c>
      <c r="AE33">
        <f t="shared" si="35"/>
        <v>68</v>
      </c>
      <c r="AF33">
        <f t="shared" si="36"/>
        <v>1238</v>
      </c>
      <c r="AG33">
        <f t="shared" si="37"/>
        <v>0</v>
      </c>
      <c r="AH33">
        <f t="shared" si="38"/>
        <v>138</v>
      </c>
      <c r="AI33">
        <f t="shared" si="39"/>
        <v>5.19</v>
      </c>
      <c r="AJ33">
        <f t="shared" si="40"/>
        <v>0</v>
      </c>
      <c r="AK33">
        <v>7838.03</v>
      </c>
      <c r="AL33">
        <v>6042.49</v>
      </c>
      <c r="AM33">
        <v>557.67999999999995</v>
      </c>
      <c r="AN33">
        <v>68.489999999999995</v>
      </c>
      <c r="AO33">
        <v>1237.8599999999999</v>
      </c>
      <c r="AP33">
        <v>0</v>
      </c>
      <c r="AQ33">
        <v>138</v>
      </c>
      <c r="AR33">
        <v>5.19</v>
      </c>
      <c r="AS33">
        <v>0</v>
      </c>
      <c r="AT33">
        <v>108</v>
      </c>
      <c r="AU33">
        <v>55</v>
      </c>
      <c r="AV33">
        <v>1</v>
      </c>
      <c r="AW33">
        <v>1</v>
      </c>
      <c r="AZ33">
        <v>1</v>
      </c>
      <c r="BA33">
        <v>32.909999999999997</v>
      </c>
      <c r="BB33">
        <v>1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49</v>
      </c>
      <c r="BM33">
        <v>10001</v>
      </c>
      <c r="BN33">
        <v>0</v>
      </c>
      <c r="BO33" t="s">
        <v>3</v>
      </c>
      <c r="BP33">
        <v>0</v>
      </c>
      <c r="BQ33">
        <v>2</v>
      </c>
      <c r="BR33">
        <v>0</v>
      </c>
      <c r="BS33">
        <v>32.909999999999997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108</v>
      </c>
      <c r="CA33">
        <v>55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41"/>
        <v>2703</v>
      </c>
      <c r="CQ33">
        <f t="shared" si="42"/>
        <v>6042</v>
      </c>
      <c r="CR33">
        <f t="shared" si="43"/>
        <v>557</v>
      </c>
      <c r="CS33">
        <f t="shared" si="44"/>
        <v>68</v>
      </c>
      <c r="CT33">
        <f t="shared" si="45"/>
        <v>1238</v>
      </c>
      <c r="CU33">
        <f t="shared" si="46"/>
        <v>0</v>
      </c>
      <c r="CV33">
        <f t="shared" si="47"/>
        <v>138</v>
      </c>
      <c r="CW33">
        <f t="shared" si="48"/>
        <v>5.19</v>
      </c>
      <c r="CX33">
        <f t="shared" si="49"/>
        <v>0</v>
      </c>
      <c r="CY33">
        <f t="shared" si="50"/>
        <v>486</v>
      </c>
      <c r="CZ33">
        <f t="shared" si="51"/>
        <v>247.5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1005</v>
      </c>
      <c r="DV33" t="s">
        <v>48</v>
      </c>
      <c r="DW33" t="s">
        <v>48</v>
      </c>
      <c r="DX33">
        <v>100</v>
      </c>
      <c r="DZ33" t="s">
        <v>3</v>
      </c>
      <c r="EA33" t="s">
        <v>3</v>
      </c>
      <c r="EB33" t="s">
        <v>3</v>
      </c>
      <c r="EC33" t="s">
        <v>3</v>
      </c>
      <c r="EE33">
        <v>53217557</v>
      </c>
      <c r="EF33">
        <v>2</v>
      </c>
      <c r="EG33" t="s">
        <v>20</v>
      </c>
      <c r="EH33">
        <v>10</v>
      </c>
      <c r="EI33" t="s">
        <v>50</v>
      </c>
      <c r="EJ33">
        <v>1</v>
      </c>
      <c r="EK33">
        <v>10001</v>
      </c>
      <c r="EL33" t="s">
        <v>50</v>
      </c>
      <c r="EM33" t="s">
        <v>51</v>
      </c>
      <c r="EO33" t="s">
        <v>3</v>
      </c>
      <c r="EQ33">
        <v>0</v>
      </c>
      <c r="ER33">
        <v>7838.03</v>
      </c>
      <c r="ES33">
        <v>6042.49</v>
      </c>
      <c r="ET33">
        <v>557.67999999999995</v>
      </c>
      <c r="EU33">
        <v>68.489999999999995</v>
      </c>
      <c r="EV33">
        <v>1237.8599999999999</v>
      </c>
      <c r="EW33">
        <v>138</v>
      </c>
      <c r="EX33">
        <v>5.19</v>
      </c>
      <c r="EY33">
        <v>0</v>
      </c>
      <c r="FQ33">
        <v>0</v>
      </c>
      <c r="FR33">
        <f t="shared" si="52"/>
        <v>0</v>
      </c>
      <c r="FS33">
        <v>0</v>
      </c>
      <c r="FX33">
        <v>108</v>
      </c>
      <c r="FY33">
        <v>55</v>
      </c>
      <c r="GA33" t="s">
        <v>3</v>
      </c>
      <c r="GD33">
        <v>1</v>
      </c>
      <c r="GF33">
        <v>1167546796</v>
      </c>
      <c r="GG33">
        <v>2</v>
      </c>
      <c r="GH33">
        <v>1</v>
      </c>
      <c r="GI33">
        <v>4</v>
      </c>
      <c r="GJ33">
        <v>0</v>
      </c>
      <c r="GK33">
        <v>0</v>
      </c>
      <c r="GL33">
        <f t="shared" si="53"/>
        <v>0</v>
      </c>
      <c r="GM33">
        <f t="shared" si="54"/>
        <v>3437</v>
      </c>
      <c r="GN33">
        <f t="shared" si="55"/>
        <v>3437</v>
      </c>
      <c r="GO33">
        <f t="shared" si="56"/>
        <v>0</v>
      </c>
      <c r="GP33">
        <f t="shared" si="57"/>
        <v>0</v>
      </c>
      <c r="GR33">
        <v>0</v>
      </c>
      <c r="GS33">
        <v>3</v>
      </c>
      <c r="GT33">
        <v>0</v>
      </c>
      <c r="GU33" t="s">
        <v>3</v>
      </c>
      <c r="GV33">
        <f t="shared" si="58"/>
        <v>0</v>
      </c>
      <c r="GW33">
        <v>1</v>
      </c>
      <c r="GX33">
        <f t="shared" si="59"/>
        <v>0</v>
      </c>
      <c r="HA33">
        <v>0</v>
      </c>
      <c r="HB33">
        <v>0</v>
      </c>
      <c r="HC33">
        <f t="shared" si="60"/>
        <v>0</v>
      </c>
      <c r="HE33" t="s">
        <v>3</v>
      </c>
      <c r="HF33" t="s">
        <v>3</v>
      </c>
      <c r="HI33">
        <f t="shared" si="61"/>
        <v>757</v>
      </c>
      <c r="HJ33">
        <f t="shared" si="62"/>
        <v>14053</v>
      </c>
      <c r="HK33">
        <f t="shared" si="63"/>
        <v>15995</v>
      </c>
      <c r="HL33">
        <f t="shared" si="64"/>
        <v>8146</v>
      </c>
      <c r="HM33" t="s">
        <v>3</v>
      </c>
      <c r="HN33" t="s">
        <v>52</v>
      </c>
      <c r="HO33" t="s">
        <v>53</v>
      </c>
      <c r="HP33" t="s">
        <v>50</v>
      </c>
      <c r="HQ33" t="s">
        <v>50</v>
      </c>
      <c r="IK33">
        <v>0</v>
      </c>
    </row>
    <row r="34" spans="1:245" x14ac:dyDescent="0.2">
      <c r="A34">
        <v>17</v>
      </c>
      <c r="B34">
        <v>1</v>
      </c>
      <c r="E34" t="s">
        <v>54</v>
      </c>
      <c r="F34" t="s">
        <v>55</v>
      </c>
      <c r="G34" t="s">
        <v>56</v>
      </c>
      <c r="H34" t="s">
        <v>28</v>
      </c>
      <c r="I34">
        <f>ROUND(I33*-1.01,7)</f>
        <v>-0.34844999999999998</v>
      </c>
      <c r="J34">
        <v>0</v>
      </c>
      <c r="K34">
        <f>ROUND(I33*-1.01,7)</f>
        <v>-0.34844999999999998</v>
      </c>
      <c r="O34">
        <f t="shared" si="21"/>
        <v>-558</v>
      </c>
      <c r="P34">
        <f t="shared" si="22"/>
        <v>-558</v>
      </c>
      <c r="Q34">
        <f t="shared" si="23"/>
        <v>0</v>
      </c>
      <c r="R34">
        <f t="shared" si="24"/>
        <v>0</v>
      </c>
      <c r="S34">
        <f t="shared" si="25"/>
        <v>0</v>
      </c>
      <c r="T34">
        <f t="shared" si="26"/>
        <v>0</v>
      </c>
      <c r="U34">
        <f t="shared" si="27"/>
        <v>0</v>
      </c>
      <c r="V34">
        <f t="shared" si="28"/>
        <v>0</v>
      </c>
      <c r="W34">
        <f t="shared" si="29"/>
        <v>0</v>
      </c>
      <c r="X34">
        <f t="shared" si="30"/>
        <v>0</v>
      </c>
      <c r="Y34">
        <f t="shared" si="31"/>
        <v>0</v>
      </c>
      <c r="AA34">
        <v>53679809</v>
      </c>
      <c r="AB34">
        <f t="shared" si="32"/>
        <v>1601</v>
      </c>
      <c r="AC34">
        <f t="shared" si="33"/>
        <v>1601</v>
      </c>
      <c r="AD34">
        <f t="shared" si="34"/>
        <v>0</v>
      </c>
      <c r="AE34">
        <f t="shared" si="35"/>
        <v>0</v>
      </c>
      <c r="AF34">
        <f t="shared" si="36"/>
        <v>0</v>
      </c>
      <c r="AG34">
        <f t="shared" si="37"/>
        <v>0</v>
      </c>
      <c r="AH34">
        <f t="shared" si="38"/>
        <v>0</v>
      </c>
      <c r="AI34">
        <f t="shared" si="39"/>
        <v>0</v>
      </c>
      <c r="AJ34">
        <f t="shared" si="40"/>
        <v>0</v>
      </c>
      <c r="AK34">
        <v>1601</v>
      </c>
      <c r="AL34">
        <v>1601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1</v>
      </c>
      <c r="BJ34" t="s">
        <v>57</v>
      </c>
      <c r="BM34">
        <v>500001</v>
      </c>
      <c r="BN34">
        <v>0</v>
      </c>
      <c r="BO34" t="s">
        <v>3</v>
      </c>
      <c r="BP34">
        <v>0</v>
      </c>
      <c r="BQ34">
        <v>8</v>
      </c>
      <c r="BR34">
        <v>1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0</v>
      </c>
      <c r="CA34">
        <v>0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41"/>
        <v>-558</v>
      </c>
      <c r="CQ34">
        <f t="shared" si="42"/>
        <v>1601</v>
      </c>
      <c r="CR34">
        <f t="shared" si="43"/>
        <v>0</v>
      </c>
      <c r="CS34">
        <f t="shared" si="44"/>
        <v>0</v>
      </c>
      <c r="CT34">
        <f t="shared" si="45"/>
        <v>0</v>
      </c>
      <c r="CU34">
        <f t="shared" si="46"/>
        <v>0</v>
      </c>
      <c r="CV34">
        <f t="shared" si="47"/>
        <v>0</v>
      </c>
      <c r="CW34">
        <f t="shared" si="48"/>
        <v>0</v>
      </c>
      <c r="CX34">
        <f t="shared" si="49"/>
        <v>0</v>
      </c>
      <c r="CY34">
        <f t="shared" si="50"/>
        <v>0</v>
      </c>
      <c r="CZ34">
        <f t="shared" si="51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1007</v>
      </c>
      <c r="DV34" t="s">
        <v>28</v>
      </c>
      <c r="DW34" t="s">
        <v>28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53217489</v>
      </c>
      <c r="EF34">
        <v>8</v>
      </c>
      <c r="EG34" t="s">
        <v>38</v>
      </c>
      <c r="EH34">
        <v>0</v>
      </c>
      <c r="EI34" t="s">
        <v>3</v>
      </c>
      <c r="EJ34">
        <v>1</v>
      </c>
      <c r="EK34">
        <v>500001</v>
      </c>
      <c r="EL34" t="s">
        <v>39</v>
      </c>
      <c r="EM34" t="s">
        <v>40</v>
      </c>
      <c r="EO34" t="s">
        <v>3</v>
      </c>
      <c r="EQ34">
        <v>32768</v>
      </c>
      <c r="ER34">
        <v>1601</v>
      </c>
      <c r="ES34">
        <v>1601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FQ34">
        <v>0</v>
      </c>
      <c r="FR34">
        <f t="shared" si="52"/>
        <v>0</v>
      </c>
      <c r="FS34">
        <v>0</v>
      </c>
      <c r="FX34">
        <v>0</v>
      </c>
      <c r="FY34">
        <v>0</v>
      </c>
      <c r="GA34" t="s">
        <v>3</v>
      </c>
      <c r="GD34">
        <v>1</v>
      </c>
      <c r="GF34">
        <v>715149168</v>
      </c>
      <c r="GG34">
        <v>2</v>
      </c>
      <c r="GH34">
        <v>1</v>
      </c>
      <c r="GI34">
        <v>4</v>
      </c>
      <c r="GJ34">
        <v>0</v>
      </c>
      <c r="GK34">
        <v>0</v>
      </c>
      <c r="GL34">
        <f t="shared" si="53"/>
        <v>0</v>
      </c>
      <c r="GM34">
        <f t="shared" si="54"/>
        <v>-558</v>
      </c>
      <c r="GN34">
        <f t="shared" si="55"/>
        <v>-558</v>
      </c>
      <c r="GO34">
        <f t="shared" si="56"/>
        <v>0</v>
      </c>
      <c r="GP34">
        <f t="shared" si="57"/>
        <v>0</v>
      </c>
      <c r="GR34">
        <v>0</v>
      </c>
      <c r="GS34">
        <v>3</v>
      </c>
      <c r="GT34">
        <v>0</v>
      </c>
      <c r="GU34" t="s">
        <v>3</v>
      </c>
      <c r="GV34">
        <f t="shared" si="58"/>
        <v>0</v>
      </c>
      <c r="GW34">
        <v>1</v>
      </c>
      <c r="GX34">
        <f t="shared" si="59"/>
        <v>0</v>
      </c>
      <c r="HA34">
        <v>0</v>
      </c>
      <c r="HB34">
        <v>0</v>
      </c>
      <c r="HC34">
        <f t="shared" si="60"/>
        <v>0</v>
      </c>
      <c r="HE34" t="s">
        <v>3</v>
      </c>
      <c r="HF34" t="s">
        <v>3</v>
      </c>
      <c r="HI34">
        <f t="shared" si="61"/>
        <v>0</v>
      </c>
      <c r="HJ34">
        <f t="shared" si="62"/>
        <v>0</v>
      </c>
      <c r="HK34">
        <f t="shared" si="63"/>
        <v>0</v>
      </c>
      <c r="HL34">
        <f t="shared" si="64"/>
        <v>0</v>
      </c>
      <c r="HM34" t="s">
        <v>3</v>
      </c>
      <c r="HN34" t="s">
        <v>3</v>
      </c>
      <c r="HO34" t="s">
        <v>3</v>
      </c>
      <c r="HP34" t="s">
        <v>3</v>
      </c>
      <c r="HQ34" t="s">
        <v>3</v>
      </c>
      <c r="IK34">
        <v>0</v>
      </c>
    </row>
    <row r="35" spans="1:245" x14ac:dyDescent="0.2">
      <c r="A35">
        <v>17</v>
      </c>
      <c r="B35">
        <v>1</v>
      </c>
      <c r="E35" t="s">
        <v>58</v>
      </c>
      <c r="F35" t="s">
        <v>59</v>
      </c>
      <c r="G35" t="s">
        <v>60</v>
      </c>
      <c r="H35" t="s">
        <v>28</v>
      </c>
      <c r="I35">
        <f>ROUND(I33*-0.8,7)</f>
        <v>-0.27600000000000002</v>
      </c>
      <c r="J35">
        <v>0</v>
      </c>
      <c r="K35">
        <f>ROUND(I33*-0.8,7)</f>
        <v>-0.27600000000000002</v>
      </c>
      <c r="O35">
        <f t="shared" si="21"/>
        <v>-319</v>
      </c>
      <c r="P35">
        <f t="shared" si="22"/>
        <v>-319</v>
      </c>
      <c r="Q35">
        <f t="shared" si="23"/>
        <v>0</v>
      </c>
      <c r="R35">
        <f t="shared" si="24"/>
        <v>0</v>
      </c>
      <c r="S35">
        <f t="shared" si="25"/>
        <v>0</v>
      </c>
      <c r="T35">
        <f t="shared" si="26"/>
        <v>0</v>
      </c>
      <c r="U35">
        <f t="shared" si="27"/>
        <v>0</v>
      </c>
      <c r="V35">
        <f t="shared" si="28"/>
        <v>0</v>
      </c>
      <c r="W35">
        <f t="shared" si="29"/>
        <v>0</v>
      </c>
      <c r="X35">
        <f t="shared" si="30"/>
        <v>0</v>
      </c>
      <c r="Y35">
        <f t="shared" si="31"/>
        <v>0</v>
      </c>
      <c r="AA35">
        <v>53679809</v>
      </c>
      <c r="AB35">
        <f t="shared" si="32"/>
        <v>1155</v>
      </c>
      <c r="AC35">
        <f t="shared" si="33"/>
        <v>1155</v>
      </c>
      <c r="AD35">
        <f t="shared" si="34"/>
        <v>0</v>
      </c>
      <c r="AE35">
        <f t="shared" si="35"/>
        <v>0</v>
      </c>
      <c r="AF35">
        <f t="shared" si="36"/>
        <v>0</v>
      </c>
      <c r="AG35">
        <f t="shared" si="37"/>
        <v>0</v>
      </c>
      <c r="AH35">
        <f t="shared" si="38"/>
        <v>0</v>
      </c>
      <c r="AI35">
        <f t="shared" si="39"/>
        <v>0</v>
      </c>
      <c r="AJ35">
        <f t="shared" si="40"/>
        <v>0</v>
      </c>
      <c r="AK35">
        <v>1155</v>
      </c>
      <c r="AL35">
        <v>1155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1</v>
      </c>
      <c r="BJ35" t="s">
        <v>61</v>
      </c>
      <c r="BM35">
        <v>500001</v>
      </c>
      <c r="BN35">
        <v>0</v>
      </c>
      <c r="BO35" t="s">
        <v>3</v>
      </c>
      <c r="BP35">
        <v>0</v>
      </c>
      <c r="BQ35">
        <v>8</v>
      </c>
      <c r="BR35">
        <v>1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41"/>
        <v>-319</v>
      </c>
      <c r="CQ35">
        <f t="shared" si="42"/>
        <v>1155</v>
      </c>
      <c r="CR35">
        <f t="shared" si="43"/>
        <v>0</v>
      </c>
      <c r="CS35">
        <f t="shared" si="44"/>
        <v>0</v>
      </c>
      <c r="CT35">
        <f t="shared" si="45"/>
        <v>0</v>
      </c>
      <c r="CU35">
        <f t="shared" si="46"/>
        <v>0</v>
      </c>
      <c r="CV35">
        <f t="shared" si="47"/>
        <v>0</v>
      </c>
      <c r="CW35">
        <f t="shared" si="48"/>
        <v>0</v>
      </c>
      <c r="CX35">
        <f t="shared" si="49"/>
        <v>0</v>
      </c>
      <c r="CY35">
        <f t="shared" si="50"/>
        <v>0</v>
      </c>
      <c r="CZ35">
        <f t="shared" si="51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1007</v>
      </c>
      <c r="DV35" t="s">
        <v>28</v>
      </c>
      <c r="DW35" t="s">
        <v>28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53217489</v>
      </c>
      <c r="EF35">
        <v>8</v>
      </c>
      <c r="EG35" t="s">
        <v>38</v>
      </c>
      <c r="EH35">
        <v>0</v>
      </c>
      <c r="EI35" t="s">
        <v>3</v>
      </c>
      <c r="EJ35">
        <v>1</v>
      </c>
      <c r="EK35">
        <v>500001</v>
      </c>
      <c r="EL35" t="s">
        <v>39</v>
      </c>
      <c r="EM35" t="s">
        <v>40</v>
      </c>
      <c r="EO35" t="s">
        <v>3</v>
      </c>
      <c r="EQ35">
        <v>32768</v>
      </c>
      <c r="ER35">
        <v>1155</v>
      </c>
      <c r="ES35">
        <v>1155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52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1345744859</v>
      </c>
      <c r="GG35">
        <v>2</v>
      </c>
      <c r="GH35">
        <v>1</v>
      </c>
      <c r="GI35">
        <v>4</v>
      </c>
      <c r="GJ35">
        <v>0</v>
      </c>
      <c r="GK35">
        <v>0</v>
      </c>
      <c r="GL35">
        <f t="shared" si="53"/>
        <v>0</v>
      </c>
      <c r="GM35">
        <f t="shared" si="54"/>
        <v>-319</v>
      </c>
      <c r="GN35">
        <f t="shared" si="55"/>
        <v>-319</v>
      </c>
      <c r="GO35">
        <f t="shared" si="56"/>
        <v>0</v>
      </c>
      <c r="GP35">
        <f t="shared" si="57"/>
        <v>0</v>
      </c>
      <c r="GR35">
        <v>0</v>
      </c>
      <c r="GS35">
        <v>3</v>
      </c>
      <c r="GT35">
        <v>0</v>
      </c>
      <c r="GU35" t="s">
        <v>3</v>
      </c>
      <c r="GV35">
        <f t="shared" si="58"/>
        <v>0</v>
      </c>
      <c r="GW35">
        <v>1</v>
      </c>
      <c r="GX35">
        <f t="shared" si="59"/>
        <v>0</v>
      </c>
      <c r="HA35">
        <v>0</v>
      </c>
      <c r="HB35">
        <v>0</v>
      </c>
      <c r="HC35">
        <f t="shared" si="60"/>
        <v>0</v>
      </c>
      <c r="HE35" t="s">
        <v>3</v>
      </c>
      <c r="HF35" t="s">
        <v>3</v>
      </c>
      <c r="HI35">
        <f t="shared" si="61"/>
        <v>0</v>
      </c>
      <c r="HJ35">
        <f t="shared" si="62"/>
        <v>0</v>
      </c>
      <c r="HK35">
        <f t="shared" si="63"/>
        <v>0</v>
      </c>
      <c r="HL35">
        <f t="shared" si="64"/>
        <v>0</v>
      </c>
      <c r="HM35" t="s">
        <v>3</v>
      </c>
      <c r="HN35" t="s">
        <v>3</v>
      </c>
      <c r="HO35" t="s">
        <v>3</v>
      </c>
      <c r="HP35" t="s">
        <v>3</v>
      </c>
      <c r="HQ35" t="s">
        <v>3</v>
      </c>
      <c r="IK35">
        <v>0</v>
      </c>
    </row>
    <row r="36" spans="1:245" x14ac:dyDescent="0.2">
      <c r="A36">
        <v>17</v>
      </c>
      <c r="B36">
        <v>1</v>
      </c>
      <c r="E36" t="s">
        <v>62</v>
      </c>
      <c r="F36" t="s">
        <v>63</v>
      </c>
      <c r="G36" t="s">
        <v>64</v>
      </c>
      <c r="H36" t="s">
        <v>28</v>
      </c>
      <c r="I36">
        <f>ROUND(I33*-2.59,7)</f>
        <v>-0.89354999999999996</v>
      </c>
      <c r="J36">
        <v>0</v>
      </c>
      <c r="K36">
        <f>ROUND(I33*-2.59,7)</f>
        <v>-0.89354999999999996</v>
      </c>
      <c r="O36">
        <f t="shared" si="21"/>
        <v>-1110</v>
      </c>
      <c r="P36">
        <f t="shared" si="22"/>
        <v>-1110</v>
      </c>
      <c r="Q36">
        <f t="shared" si="23"/>
        <v>0</v>
      </c>
      <c r="R36">
        <f t="shared" si="24"/>
        <v>0</v>
      </c>
      <c r="S36">
        <f t="shared" si="25"/>
        <v>0</v>
      </c>
      <c r="T36">
        <f t="shared" si="26"/>
        <v>0</v>
      </c>
      <c r="U36">
        <f t="shared" si="27"/>
        <v>0</v>
      </c>
      <c r="V36">
        <f t="shared" si="28"/>
        <v>0</v>
      </c>
      <c r="W36">
        <f t="shared" si="29"/>
        <v>0</v>
      </c>
      <c r="X36">
        <f t="shared" si="30"/>
        <v>0</v>
      </c>
      <c r="Y36">
        <f t="shared" si="31"/>
        <v>0</v>
      </c>
      <c r="AA36">
        <v>53679809</v>
      </c>
      <c r="AB36">
        <f t="shared" si="32"/>
        <v>1242</v>
      </c>
      <c r="AC36">
        <f t="shared" si="33"/>
        <v>1242</v>
      </c>
      <c r="AD36">
        <f t="shared" si="34"/>
        <v>0</v>
      </c>
      <c r="AE36">
        <f t="shared" si="35"/>
        <v>0</v>
      </c>
      <c r="AF36">
        <f t="shared" si="36"/>
        <v>0</v>
      </c>
      <c r="AG36">
        <f t="shared" si="37"/>
        <v>0</v>
      </c>
      <c r="AH36">
        <f t="shared" si="38"/>
        <v>0</v>
      </c>
      <c r="AI36">
        <f t="shared" si="39"/>
        <v>0</v>
      </c>
      <c r="AJ36">
        <f t="shared" si="40"/>
        <v>0</v>
      </c>
      <c r="AK36">
        <v>1242.2</v>
      </c>
      <c r="AL36">
        <v>1242.2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65</v>
      </c>
      <c r="BM36">
        <v>500001</v>
      </c>
      <c r="BN36">
        <v>0</v>
      </c>
      <c r="BO36" t="s">
        <v>3</v>
      </c>
      <c r="BP36">
        <v>0</v>
      </c>
      <c r="BQ36">
        <v>8</v>
      </c>
      <c r="BR36">
        <v>1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0</v>
      </c>
      <c r="CA36">
        <v>0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41"/>
        <v>-1110</v>
      </c>
      <c r="CQ36">
        <f t="shared" si="42"/>
        <v>1242</v>
      </c>
      <c r="CR36">
        <f t="shared" si="43"/>
        <v>0</v>
      </c>
      <c r="CS36">
        <f t="shared" si="44"/>
        <v>0</v>
      </c>
      <c r="CT36">
        <f t="shared" si="45"/>
        <v>0</v>
      </c>
      <c r="CU36">
        <f t="shared" si="46"/>
        <v>0</v>
      </c>
      <c r="CV36">
        <f t="shared" si="47"/>
        <v>0</v>
      </c>
      <c r="CW36">
        <f t="shared" si="48"/>
        <v>0</v>
      </c>
      <c r="CX36">
        <f t="shared" si="49"/>
        <v>0</v>
      </c>
      <c r="CY36">
        <f t="shared" si="50"/>
        <v>0</v>
      </c>
      <c r="CZ36">
        <f t="shared" si="51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1007</v>
      </c>
      <c r="DV36" t="s">
        <v>28</v>
      </c>
      <c r="DW36" t="s">
        <v>28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53217489</v>
      </c>
      <c r="EF36">
        <v>8</v>
      </c>
      <c r="EG36" t="s">
        <v>38</v>
      </c>
      <c r="EH36">
        <v>0</v>
      </c>
      <c r="EI36" t="s">
        <v>3</v>
      </c>
      <c r="EJ36">
        <v>1</v>
      </c>
      <c r="EK36">
        <v>500001</v>
      </c>
      <c r="EL36" t="s">
        <v>39</v>
      </c>
      <c r="EM36" t="s">
        <v>40</v>
      </c>
      <c r="EO36" t="s">
        <v>3</v>
      </c>
      <c r="EQ36">
        <v>32768</v>
      </c>
      <c r="ER36">
        <v>1242.2</v>
      </c>
      <c r="ES36">
        <v>1242.2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FQ36">
        <v>0</v>
      </c>
      <c r="FR36">
        <f t="shared" si="52"/>
        <v>0</v>
      </c>
      <c r="FS36">
        <v>0</v>
      </c>
      <c r="FX36">
        <v>0</v>
      </c>
      <c r="FY36">
        <v>0</v>
      </c>
      <c r="GA36" t="s">
        <v>3</v>
      </c>
      <c r="GD36">
        <v>1</v>
      </c>
      <c r="GF36">
        <v>-167974146</v>
      </c>
      <c r="GG36">
        <v>2</v>
      </c>
      <c r="GH36">
        <v>1</v>
      </c>
      <c r="GI36">
        <v>4</v>
      </c>
      <c r="GJ36">
        <v>0</v>
      </c>
      <c r="GK36">
        <v>0</v>
      </c>
      <c r="GL36">
        <f t="shared" si="53"/>
        <v>0</v>
      </c>
      <c r="GM36">
        <f t="shared" si="54"/>
        <v>-1110</v>
      </c>
      <c r="GN36">
        <f t="shared" si="55"/>
        <v>-1110</v>
      </c>
      <c r="GO36">
        <f t="shared" si="56"/>
        <v>0</v>
      </c>
      <c r="GP36">
        <f t="shared" si="57"/>
        <v>0</v>
      </c>
      <c r="GR36">
        <v>0</v>
      </c>
      <c r="GS36">
        <v>3</v>
      </c>
      <c r="GT36">
        <v>0</v>
      </c>
      <c r="GU36" t="s">
        <v>3</v>
      </c>
      <c r="GV36">
        <f t="shared" si="58"/>
        <v>0</v>
      </c>
      <c r="GW36">
        <v>1</v>
      </c>
      <c r="GX36">
        <f t="shared" si="59"/>
        <v>0</v>
      </c>
      <c r="HA36">
        <v>0</v>
      </c>
      <c r="HB36">
        <v>0</v>
      </c>
      <c r="HC36">
        <f t="shared" si="60"/>
        <v>0</v>
      </c>
      <c r="HE36" t="s">
        <v>3</v>
      </c>
      <c r="HF36" t="s">
        <v>3</v>
      </c>
      <c r="HI36">
        <f t="shared" si="61"/>
        <v>0</v>
      </c>
      <c r="HJ36">
        <f t="shared" si="62"/>
        <v>0</v>
      </c>
      <c r="HK36">
        <f t="shared" si="63"/>
        <v>0</v>
      </c>
      <c r="HL36">
        <f t="shared" si="64"/>
        <v>0</v>
      </c>
      <c r="HM36" t="s">
        <v>3</v>
      </c>
      <c r="HN36" t="s">
        <v>3</v>
      </c>
      <c r="HO36" t="s">
        <v>3</v>
      </c>
      <c r="HP36" t="s">
        <v>3</v>
      </c>
      <c r="HQ36" t="s">
        <v>3</v>
      </c>
      <c r="IK36">
        <v>0</v>
      </c>
    </row>
    <row r="37" spans="1:245" x14ac:dyDescent="0.2">
      <c r="A37">
        <v>17</v>
      </c>
      <c r="B37">
        <v>1</v>
      </c>
      <c r="E37" t="s">
        <v>66</v>
      </c>
      <c r="F37" t="s">
        <v>67</v>
      </c>
      <c r="G37" t="s">
        <v>68</v>
      </c>
      <c r="H37" t="s">
        <v>69</v>
      </c>
      <c r="I37">
        <f>ROUND(3*5*1.2*7.4/1000,7)</f>
        <v>0.13320000000000001</v>
      </c>
      <c r="J37">
        <v>0</v>
      </c>
      <c r="K37">
        <f>ROUND(3*5*1.2*7.4/1000,7)</f>
        <v>0.13320000000000001</v>
      </c>
      <c r="O37">
        <f t="shared" si="21"/>
        <v>1301</v>
      </c>
      <c r="P37">
        <f t="shared" si="22"/>
        <v>1301</v>
      </c>
      <c r="Q37">
        <f t="shared" si="23"/>
        <v>0</v>
      </c>
      <c r="R37">
        <f t="shared" si="24"/>
        <v>0</v>
      </c>
      <c r="S37">
        <f t="shared" si="25"/>
        <v>0</v>
      </c>
      <c r="T37">
        <f t="shared" si="26"/>
        <v>0</v>
      </c>
      <c r="U37">
        <f t="shared" si="27"/>
        <v>0</v>
      </c>
      <c r="V37">
        <f t="shared" si="28"/>
        <v>0</v>
      </c>
      <c r="W37">
        <f t="shared" si="29"/>
        <v>0</v>
      </c>
      <c r="X37">
        <f t="shared" si="30"/>
        <v>0</v>
      </c>
      <c r="Y37">
        <f t="shared" si="31"/>
        <v>0</v>
      </c>
      <c r="AA37">
        <v>53679809</v>
      </c>
      <c r="AB37">
        <f t="shared" si="32"/>
        <v>9771</v>
      </c>
      <c r="AC37">
        <f t="shared" si="33"/>
        <v>9771</v>
      </c>
      <c r="AD37">
        <f t="shared" si="34"/>
        <v>0</v>
      </c>
      <c r="AE37">
        <f t="shared" si="35"/>
        <v>0</v>
      </c>
      <c r="AF37">
        <f t="shared" si="36"/>
        <v>0</v>
      </c>
      <c r="AG37">
        <f t="shared" si="37"/>
        <v>0</v>
      </c>
      <c r="AH37">
        <f t="shared" si="38"/>
        <v>0</v>
      </c>
      <c r="AI37">
        <f t="shared" si="39"/>
        <v>0</v>
      </c>
      <c r="AJ37">
        <f t="shared" si="40"/>
        <v>0</v>
      </c>
      <c r="AK37">
        <v>9771.14</v>
      </c>
      <c r="AL37">
        <v>9771.14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1</v>
      </c>
      <c r="BJ37" t="s">
        <v>70</v>
      </c>
      <c r="BM37">
        <v>500001</v>
      </c>
      <c r="BN37">
        <v>0</v>
      </c>
      <c r="BO37" t="s">
        <v>3</v>
      </c>
      <c r="BP37">
        <v>0</v>
      </c>
      <c r="BQ37">
        <v>8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41"/>
        <v>1301</v>
      </c>
      <c r="CQ37">
        <f t="shared" si="42"/>
        <v>9771</v>
      </c>
      <c r="CR37">
        <f t="shared" si="43"/>
        <v>0</v>
      </c>
      <c r="CS37">
        <f t="shared" si="44"/>
        <v>0</v>
      </c>
      <c r="CT37">
        <f t="shared" si="45"/>
        <v>0</v>
      </c>
      <c r="CU37">
        <f t="shared" si="46"/>
        <v>0</v>
      </c>
      <c r="CV37">
        <f t="shared" si="47"/>
        <v>0</v>
      </c>
      <c r="CW37">
        <f t="shared" si="48"/>
        <v>0</v>
      </c>
      <c r="CX37">
        <f t="shared" si="49"/>
        <v>0</v>
      </c>
      <c r="CY37">
        <f t="shared" si="50"/>
        <v>0</v>
      </c>
      <c r="CZ37">
        <f t="shared" si="51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1009</v>
      </c>
      <c r="DV37" t="s">
        <v>69</v>
      </c>
      <c r="DW37" t="s">
        <v>69</v>
      </c>
      <c r="DX37">
        <v>1000</v>
      </c>
      <c r="DZ37" t="s">
        <v>3</v>
      </c>
      <c r="EA37" t="s">
        <v>3</v>
      </c>
      <c r="EB37" t="s">
        <v>3</v>
      </c>
      <c r="EC37" t="s">
        <v>3</v>
      </c>
      <c r="EE37">
        <v>53217489</v>
      </c>
      <c r="EF37">
        <v>8</v>
      </c>
      <c r="EG37" t="s">
        <v>38</v>
      </c>
      <c r="EH37">
        <v>0</v>
      </c>
      <c r="EI37" t="s">
        <v>3</v>
      </c>
      <c r="EJ37">
        <v>1</v>
      </c>
      <c r="EK37">
        <v>500001</v>
      </c>
      <c r="EL37" t="s">
        <v>39</v>
      </c>
      <c r="EM37" t="s">
        <v>40</v>
      </c>
      <c r="EO37" t="s">
        <v>3</v>
      </c>
      <c r="EQ37">
        <v>0</v>
      </c>
      <c r="ER37">
        <v>9771.14</v>
      </c>
      <c r="ES37">
        <v>9771.14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FQ37">
        <v>0</v>
      </c>
      <c r="FR37">
        <f t="shared" si="52"/>
        <v>0</v>
      </c>
      <c r="FS37">
        <v>0</v>
      </c>
      <c r="FX37">
        <v>0</v>
      </c>
      <c r="FY37">
        <v>0</v>
      </c>
      <c r="GA37" t="s">
        <v>3</v>
      </c>
      <c r="GD37">
        <v>1</v>
      </c>
      <c r="GF37">
        <v>-1082708198</v>
      </c>
      <c r="GG37">
        <v>2</v>
      </c>
      <c r="GH37">
        <v>1</v>
      </c>
      <c r="GI37">
        <v>4</v>
      </c>
      <c r="GJ37">
        <v>0</v>
      </c>
      <c r="GK37">
        <v>0</v>
      </c>
      <c r="GL37">
        <f t="shared" si="53"/>
        <v>0</v>
      </c>
      <c r="GM37">
        <f t="shared" si="54"/>
        <v>1301</v>
      </c>
      <c r="GN37">
        <f t="shared" si="55"/>
        <v>1301</v>
      </c>
      <c r="GO37">
        <f t="shared" si="56"/>
        <v>0</v>
      </c>
      <c r="GP37">
        <f t="shared" si="57"/>
        <v>0</v>
      </c>
      <c r="GR37">
        <v>0</v>
      </c>
      <c r="GS37">
        <v>3</v>
      </c>
      <c r="GT37">
        <v>0</v>
      </c>
      <c r="GU37" t="s">
        <v>3</v>
      </c>
      <c r="GV37">
        <f t="shared" si="58"/>
        <v>0</v>
      </c>
      <c r="GW37">
        <v>1</v>
      </c>
      <c r="GX37">
        <f t="shared" si="59"/>
        <v>0</v>
      </c>
      <c r="HA37">
        <v>0</v>
      </c>
      <c r="HB37">
        <v>0</v>
      </c>
      <c r="HC37">
        <f t="shared" si="60"/>
        <v>0</v>
      </c>
      <c r="HE37" t="s">
        <v>3</v>
      </c>
      <c r="HF37" t="s">
        <v>3</v>
      </c>
      <c r="HI37">
        <f t="shared" si="61"/>
        <v>0</v>
      </c>
      <c r="HJ37">
        <f t="shared" si="62"/>
        <v>0</v>
      </c>
      <c r="HK37">
        <f t="shared" si="63"/>
        <v>0</v>
      </c>
      <c r="HL37">
        <f t="shared" si="64"/>
        <v>0</v>
      </c>
      <c r="HM37" t="s">
        <v>3</v>
      </c>
      <c r="HN37" t="s">
        <v>3</v>
      </c>
      <c r="HO37" t="s">
        <v>3</v>
      </c>
      <c r="HP37" t="s">
        <v>3</v>
      </c>
      <c r="HQ37" t="s">
        <v>3</v>
      </c>
      <c r="IK37">
        <v>0</v>
      </c>
    </row>
    <row r="38" spans="1:245" x14ac:dyDescent="0.2">
      <c r="A38">
        <v>17</v>
      </c>
      <c r="B38">
        <v>1</v>
      </c>
      <c r="E38" t="s">
        <v>71</v>
      </c>
      <c r="F38" t="s">
        <v>72</v>
      </c>
      <c r="G38" t="s">
        <v>73</v>
      </c>
      <c r="H38" t="s">
        <v>74</v>
      </c>
      <c r="I38">
        <v>16.5</v>
      </c>
      <c r="J38">
        <v>0</v>
      </c>
      <c r="K38">
        <v>16.5</v>
      </c>
      <c r="O38">
        <f t="shared" si="21"/>
        <v>941</v>
      </c>
      <c r="P38">
        <f t="shared" si="22"/>
        <v>941</v>
      </c>
      <c r="Q38">
        <f t="shared" si="23"/>
        <v>0</v>
      </c>
      <c r="R38">
        <f t="shared" si="24"/>
        <v>0</v>
      </c>
      <c r="S38">
        <f t="shared" si="25"/>
        <v>0</v>
      </c>
      <c r="T38">
        <f t="shared" si="26"/>
        <v>0</v>
      </c>
      <c r="U38">
        <f t="shared" si="27"/>
        <v>0</v>
      </c>
      <c r="V38">
        <f t="shared" si="28"/>
        <v>0</v>
      </c>
      <c r="W38">
        <f t="shared" si="29"/>
        <v>0</v>
      </c>
      <c r="X38">
        <f t="shared" si="30"/>
        <v>0</v>
      </c>
      <c r="Y38">
        <f t="shared" si="31"/>
        <v>0</v>
      </c>
      <c r="AA38">
        <v>53679809</v>
      </c>
      <c r="AB38">
        <f t="shared" si="32"/>
        <v>57</v>
      </c>
      <c r="AC38">
        <f t="shared" si="33"/>
        <v>57</v>
      </c>
      <c r="AD38">
        <f t="shared" si="34"/>
        <v>0</v>
      </c>
      <c r="AE38">
        <f t="shared" si="35"/>
        <v>0</v>
      </c>
      <c r="AF38">
        <f t="shared" si="36"/>
        <v>0</v>
      </c>
      <c r="AG38">
        <f t="shared" si="37"/>
        <v>0</v>
      </c>
      <c r="AH38">
        <f t="shared" si="38"/>
        <v>0</v>
      </c>
      <c r="AI38">
        <f t="shared" si="39"/>
        <v>0</v>
      </c>
      <c r="AJ38">
        <f t="shared" si="40"/>
        <v>0</v>
      </c>
      <c r="AK38">
        <v>56.6</v>
      </c>
      <c r="AL38">
        <v>56.6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</v>
      </c>
      <c r="BD38" t="s">
        <v>3</v>
      </c>
      <c r="BE38" t="s">
        <v>3</v>
      </c>
      <c r="BF38" t="s">
        <v>3</v>
      </c>
      <c r="BG38" t="s">
        <v>3</v>
      </c>
      <c r="BH38">
        <v>3</v>
      </c>
      <c r="BI38">
        <v>1</v>
      </c>
      <c r="BJ38" t="s">
        <v>75</v>
      </c>
      <c r="BM38">
        <v>500001</v>
      </c>
      <c r="BN38">
        <v>0</v>
      </c>
      <c r="BO38" t="s">
        <v>3</v>
      </c>
      <c r="BP38">
        <v>0</v>
      </c>
      <c r="BQ38">
        <v>8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0</v>
      </c>
      <c r="CA38">
        <v>0</v>
      </c>
      <c r="CB38" t="s">
        <v>3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41"/>
        <v>941</v>
      </c>
      <c r="CQ38">
        <f t="shared" si="42"/>
        <v>57</v>
      </c>
      <c r="CR38">
        <f t="shared" si="43"/>
        <v>0</v>
      </c>
      <c r="CS38">
        <f t="shared" si="44"/>
        <v>0</v>
      </c>
      <c r="CT38">
        <f t="shared" si="45"/>
        <v>0</v>
      </c>
      <c r="CU38">
        <f t="shared" si="46"/>
        <v>0</v>
      </c>
      <c r="CV38">
        <f t="shared" si="47"/>
        <v>0</v>
      </c>
      <c r="CW38">
        <f t="shared" si="48"/>
        <v>0</v>
      </c>
      <c r="CX38">
        <f t="shared" si="49"/>
        <v>0</v>
      </c>
      <c r="CY38">
        <f t="shared" si="50"/>
        <v>0</v>
      </c>
      <c r="CZ38">
        <f t="shared" si="51"/>
        <v>0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1005</v>
      </c>
      <c r="DV38" t="s">
        <v>74</v>
      </c>
      <c r="DW38" t="s">
        <v>74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53217489</v>
      </c>
      <c r="EF38">
        <v>8</v>
      </c>
      <c r="EG38" t="s">
        <v>38</v>
      </c>
      <c r="EH38">
        <v>0</v>
      </c>
      <c r="EI38" t="s">
        <v>3</v>
      </c>
      <c r="EJ38">
        <v>1</v>
      </c>
      <c r="EK38">
        <v>500001</v>
      </c>
      <c r="EL38" t="s">
        <v>39</v>
      </c>
      <c r="EM38" t="s">
        <v>40</v>
      </c>
      <c r="EO38" t="s">
        <v>3</v>
      </c>
      <c r="EQ38">
        <v>0</v>
      </c>
      <c r="ER38">
        <v>56.6</v>
      </c>
      <c r="ES38">
        <v>56.6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FQ38">
        <v>0</v>
      </c>
      <c r="FR38">
        <f t="shared" si="52"/>
        <v>0</v>
      </c>
      <c r="FS38">
        <v>0</v>
      </c>
      <c r="FX38">
        <v>0</v>
      </c>
      <c r="FY38">
        <v>0</v>
      </c>
      <c r="GA38" t="s">
        <v>3</v>
      </c>
      <c r="GD38">
        <v>1</v>
      </c>
      <c r="GF38">
        <v>897884455</v>
      </c>
      <c r="GG38">
        <v>2</v>
      </c>
      <c r="GH38">
        <v>1</v>
      </c>
      <c r="GI38">
        <v>4</v>
      </c>
      <c r="GJ38">
        <v>0</v>
      </c>
      <c r="GK38">
        <v>0</v>
      </c>
      <c r="GL38">
        <f t="shared" si="53"/>
        <v>0</v>
      </c>
      <c r="GM38">
        <f t="shared" si="54"/>
        <v>941</v>
      </c>
      <c r="GN38">
        <f t="shared" si="55"/>
        <v>941</v>
      </c>
      <c r="GO38">
        <f t="shared" si="56"/>
        <v>0</v>
      </c>
      <c r="GP38">
        <f t="shared" si="57"/>
        <v>0</v>
      </c>
      <c r="GR38">
        <v>0</v>
      </c>
      <c r="GS38">
        <v>3</v>
      </c>
      <c r="GT38">
        <v>0</v>
      </c>
      <c r="GU38" t="s">
        <v>3</v>
      </c>
      <c r="GV38">
        <f t="shared" si="58"/>
        <v>0</v>
      </c>
      <c r="GW38">
        <v>1</v>
      </c>
      <c r="GX38">
        <f t="shared" si="59"/>
        <v>0</v>
      </c>
      <c r="HA38">
        <v>0</v>
      </c>
      <c r="HB38">
        <v>0</v>
      </c>
      <c r="HC38">
        <f t="shared" si="60"/>
        <v>0</v>
      </c>
      <c r="HE38" t="s">
        <v>3</v>
      </c>
      <c r="HF38" t="s">
        <v>3</v>
      </c>
      <c r="HI38">
        <f t="shared" si="61"/>
        <v>0</v>
      </c>
      <c r="HJ38">
        <f t="shared" si="62"/>
        <v>0</v>
      </c>
      <c r="HK38">
        <f t="shared" si="63"/>
        <v>0</v>
      </c>
      <c r="HL38">
        <f t="shared" si="64"/>
        <v>0</v>
      </c>
      <c r="HM38" t="s">
        <v>3</v>
      </c>
      <c r="HN38" t="s">
        <v>3</v>
      </c>
      <c r="HO38" t="s">
        <v>3</v>
      </c>
      <c r="HP38" t="s">
        <v>3</v>
      </c>
      <c r="HQ38" t="s">
        <v>3</v>
      </c>
      <c r="IK38">
        <v>0</v>
      </c>
    </row>
    <row r="39" spans="1:245" x14ac:dyDescent="0.2">
      <c r="A39">
        <v>17</v>
      </c>
      <c r="B39">
        <v>1</v>
      </c>
      <c r="C39">
        <f>ROW(SmtRes!A23)</f>
        <v>23</v>
      </c>
      <c r="D39">
        <f>ROW(EtalonRes!A26)</f>
        <v>26</v>
      </c>
      <c r="E39" t="s">
        <v>76</v>
      </c>
      <c r="F39" t="s">
        <v>77</v>
      </c>
      <c r="G39" t="s">
        <v>78</v>
      </c>
      <c r="H39" t="s">
        <v>79</v>
      </c>
      <c r="I39">
        <f>ROUND(62*1.7/1000,7)</f>
        <v>0.10539999999999999</v>
      </c>
      <c r="J39">
        <v>0</v>
      </c>
      <c r="K39">
        <f>ROUND(62*1.7/1000,7)</f>
        <v>0.10539999999999999</v>
      </c>
      <c r="O39">
        <f t="shared" si="21"/>
        <v>1217</v>
      </c>
      <c r="P39">
        <f t="shared" si="22"/>
        <v>6</v>
      </c>
      <c r="Q39">
        <f t="shared" si="23"/>
        <v>1101</v>
      </c>
      <c r="R39">
        <f t="shared" si="24"/>
        <v>41</v>
      </c>
      <c r="S39">
        <f t="shared" si="25"/>
        <v>110</v>
      </c>
      <c r="T39">
        <f t="shared" si="26"/>
        <v>0</v>
      </c>
      <c r="U39">
        <f t="shared" si="27"/>
        <v>11.745775999999999</v>
      </c>
      <c r="V39">
        <f t="shared" si="28"/>
        <v>2.3029899999999999</v>
      </c>
      <c r="W39">
        <f t="shared" si="29"/>
        <v>0</v>
      </c>
      <c r="X39">
        <f t="shared" si="30"/>
        <v>140</v>
      </c>
      <c r="Y39">
        <f t="shared" si="31"/>
        <v>94</v>
      </c>
      <c r="AA39">
        <v>53679809</v>
      </c>
      <c r="AB39">
        <f t="shared" si="32"/>
        <v>11552</v>
      </c>
      <c r="AC39">
        <f t="shared" si="33"/>
        <v>54</v>
      </c>
      <c r="AD39">
        <f t="shared" si="34"/>
        <v>10450</v>
      </c>
      <c r="AE39">
        <f t="shared" si="35"/>
        <v>390</v>
      </c>
      <c r="AF39">
        <f t="shared" si="36"/>
        <v>1048</v>
      </c>
      <c r="AG39">
        <f t="shared" si="37"/>
        <v>0</v>
      </c>
      <c r="AH39">
        <f t="shared" si="38"/>
        <v>111.44</v>
      </c>
      <c r="AI39">
        <f t="shared" si="39"/>
        <v>21.85</v>
      </c>
      <c r="AJ39">
        <f t="shared" si="40"/>
        <v>0</v>
      </c>
      <c r="AK39">
        <v>11550.53</v>
      </c>
      <c r="AL39">
        <v>53.54</v>
      </c>
      <c r="AM39">
        <v>10449.450000000001</v>
      </c>
      <c r="AN39">
        <v>389.8</v>
      </c>
      <c r="AO39">
        <v>1047.54</v>
      </c>
      <c r="AP39">
        <v>0</v>
      </c>
      <c r="AQ39">
        <v>111.44</v>
      </c>
      <c r="AR39">
        <v>21.85</v>
      </c>
      <c r="AS39">
        <v>0</v>
      </c>
      <c r="AT39">
        <v>93</v>
      </c>
      <c r="AU39">
        <v>62</v>
      </c>
      <c r="AV39">
        <v>1</v>
      </c>
      <c r="AW39">
        <v>1</v>
      </c>
      <c r="AZ39">
        <v>1</v>
      </c>
      <c r="BA39">
        <v>32.909999999999997</v>
      </c>
      <c r="BB39">
        <v>1</v>
      </c>
      <c r="BC39">
        <v>1</v>
      </c>
      <c r="BD39" t="s">
        <v>3</v>
      </c>
      <c r="BE39" t="s">
        <v>3</v>
      </c>
      <c r="BF39" t="s">
        <v>3</v>
      </c>
      <c r="BG39" t="s">
        <v>3</v>
      </c>
      <c r="BH39">
        <v>0</v>
      </c>
      <c r="BI39">
        <v>1</v>
      </c>
      <c r="BJ39" t="s">
        <v>80</v>
      </c>
      <c r="BM39">
        <v>9001</v>
      </c>
      <c r="BN39">
        <v>0</v>
      </c>
      <c r="BO39" t="s">
        <v>3</v>
      </c>
      <c r="BP39">
        <v>0</v>
      </c>
      <c r="BQ39">
        <v>2</v>
      </c>
      <c r="BR39">
        <v>0</v>
      </c>
      <c r="BS39">
        <v>32.909999999999997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93</v>
      </c>
      <c r="CA39">
        <v>62</v>
      </c>
      <c r="CB39" t="s">
        <v>3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41"/>
        <v>1217</v>
      </c>
      <c r="CQ39">
        <f t="shared" si="42"/>
        <v>54</v>
      </c>
      <c r="CR39">
        <f t="shared" si="43"/>
        <v>10450</v>
      </c>
      <c r="CS39">
        <f t="shared" si="44"/>
        <v>390</v>
      </c>
      <c r="CT39">
        <f t="shared" si="45"/>
        <v>1048</v>
      </c>
      <c r="CU39">
        <f t="shared" si="46"/>
        <v>0</v>
      </c>
      <c r="CV39">
        <f t="shared" si="47"/>
        <v>111.44</v>
      </c>
      <c r="CW39">
        <f t="shared" si="48"/>
        <v>21.85</v>
      </c>
      <c r="CX39">
        <f t="shared" si="49"/>
        <v>0</v>
      </c>
      <c r="CY39">
        <f t="shared" si="50"/>
        <v>140.43</v>
      </c>
      <c r="CZ39">
        <f t="shared" si="51"/>
        <v>93.62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50031314</v>
      </c>
      <c r="DV39" t="s">
        <v>79</v>
      </c>
      <c r="DW39" t="s">
        <v>79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53217556</v>
      </c>
      <c r="EF39">
        <v>2</v>
      </c>
      <c r="EG39" t="s">
        <v>20</v>
      </c>
      <c r="EH39">
        <v>9</v>
      </c>
      <c r="EI39" t="s">
        <v>21</v>
      </c>
      <c r="EJ39">
        <v>1</v>
      </c>
      <c r="EK39">
        <v>9001</v>
      </c>
      <c r="EL39" t="s">
        <v>21</v>
      </c>
      <c r="EM39" t="s">
        <v>22</v>
      </c>
      <c r="EO39" t="s">
        <v>3</v>
      </c>
      <c r="EQ39">
        <v>0</v>
      </c>
      <c r="ER39">
        <v>11550.53</v>
      </c>
      <c r="ES39">
        <v>53.54</v>
      </c>
      <c r="ET39">
        <v>10449.450000000001</v>
      </c>
      <c r="EU39">
        <v>389.8</v>
      </c>
      <c r="EV39">
        <v>1047.54</v>
      </c>
      <c r="EW39">
        <v>111.44</v>
      </c>
      <c r="EX39">
        <v>21.85</v>
      </c>
      <c r="EY39">
        <v>0</v>
      </c>
      <c r="FQ39">
        <v>0</v>
      </c>
      <c r="FR39">
        <f t="shared" si="52"/>
        <v>0</v>
      </c>
      <c r="FS39">
        <v>0</v>
      </c>
      <c r="FX39">
        <v>93</v>
      </c>
      <c r="FY39">
        <v>62</v>
      </c>
      <c r="GA39" t="s">
        <v>3</v>
      </c>
      <c r="GD39">
        <v>1</v>
      </c>
      <c r="GF39">
        <v>-724968207</v>
      </c>
      <c r="GG39">
        <v>2</v>
      </c>
      <c r="GH39">
        <v>1</v>
      </c>
      <c r="GI39">
        <v>4</v>
      </c>
      <c r="GJ39">
        <v>0</v>
      </c>
      <c r="GK39">
        <v>0</v>
      </c>
      <c r="GL39">
        <f t="shared" si="53"/>
        <v>0</v>
      </c>
      <c r="GM39">
        <f t="shared" si="54"/>
        <v>1451</v>
      </c>
      <c r="GN39">
        <f t="shared" si="55"/>
        <v>1451</v>
      </c>
      <c r="GO39">
        <f t="shared" si="56"/>
        <v>0</v>
      </c>
      <c r="GP39">
        <f t="shared" si="57"/>
        <v>0</v>
      </c>
      <c r="GR39">
        <v>0</v>
      </c>
      <c r="GS39">
        <v>3</v>
      </c>
      <c r="GT39">
        <v>0</v>
      </c>
      <c r="GU39" t="s">
        <v>3</v>
      </c>
      <c r="GV39">
        <f t="shared" si="58"/>
        <v>0</v>
      </c>
      <c r="GW39">
        <v>1</v>
      </c>
      <c r="GX39">
        <f t="shared" si="59"/>
        <v>0</v>
      </c>
      <c r="HA39">
        <v>0</v>
      </c>
      <c r="HB39">
        <v>0</v>
      </c>
      <c r="HC39">
        <f t="shared" si="60"/>
        <v>0</v>
      </c>
      <c r="HE39" t="s">
        <v>3</v>
      </c>
      <c r="HF39" t="s">
        <v>3</v>
      </c>
      <c r="HI39">
        <f t="shared" si="61"/>
        <v>1349</v>
      </c>
      <c r="HJ39">
        <f t="shared" si="62"/>
        <v>3620</v>
      </c>
      <c r="HK39">
        <f t="shared" si="63"/>
        <v>4621</v>
      </c>
      <c r="HL39">
        <f t="shared" si="64"/>
        <v>3081</v>
      </c>
      <c r="HM39" t="s">
        <v>3</v>
      </c>
      <c r="HN39" t="s">
        <v>23</v>
      </c>
      <c r="HO39" t="s">
        <v>24</v>
      </c>
      <c r="HP39" t="s">
        <v>21</v>
      </c>
      <c r="HQ39" t="s">
        <v>21</v>
      </c>
      <c r="IK39">
        <v>0</v>
      </c>
    </row>
    <row r="40" spans="1:245" x14ac:dyDescent="0.2">
      <c r="A40">
        <v>18</v>
      </c>
      <c r="B40">
        <v>1</v>
      </c>
      <c r="C40">
        <v>23</v>
      </c>
      <c r="E40" t="s">
        <v>81</v>
      </c>
      <c r="F40" t="s">
        <v>82</v>
      </c>
      <c r="G40" t="s">
        <v>83</v>
      </c>
      <c r="H40" t="s">
        <v>69</v>
      </c>
      <c r="I40">
        <f>I39*J40</f>
        <v>0</v>
      </c>
      <c r="J40">
        <v>0</v>
      </c>
      <c r="K40">
        <v>0</v>
      </c>
      <c r="O40">
        <f t="shared" si="21"/>
        <v>0</v>
      </c>
      <c r="P40">
        <f t="shared" si="22"/>
        <v>0</v>
      </c>
      <c r="Q40">
        <f t="shared" si="23"/>
        <v>0</v>
      </c>
      <c r="R40">
        <f t="shared" si="24"/>
        <v>0</v>
      </c>
      <c r="S40">
        <f t="shared" si="25"/>
        <v>0</v>
      </c>
      <c r="T40">
        <f t="shared" si="26"/>
        <v>0</v>
      </c>
      <c r="U40">
        <f t="shared" si="27"/>
        <v>0</v>
      </c>
      <c r="V40">
        <f t="shared" si="28"/>
        <v>0</v>
      </c>
      <c r="W40">
        <f t="shared" si="29"/>
        <v>0</v>
      </c>
      <c r="X40">
        <f t="shared" si="30"/>
        <v>0</v>
      </c>
      <c r="Y40">
        <f t="shared" si="31"/>
        <v>0</v>
      </c>
      <c r="AA40">
        <v>53679809</v>
      </c>
      <c r="AB40">
        <f t="shared" si="32"/>
        <v>0</v>
      </c>
      <c r="AC40">
        <f t="shared" si="33"/>
        <v>0</v>
      </c>
      <c r="AD40">
        <f t="shared" si="34"/>
        <v>0</v>
      </c>
      <c r="AE40">
        <f t="shared" si="35"/>
        <v>0</v>
      </c>
      <c r="AF40">
        <f t="shared" si="36"/>
        <v>0</v>
      </c>
      <c r="AG40">
        <f t="shared" si="37"/>
        <v>0</v>
      </c>
      <c r="AH40">
        <f t="shared" si="38"/>
        <v>0</v>
      </c>
      <c r="AI40">
        <f t="shared" si="39"/>
        <v>0</v>
      </c>
      <c r="AJ40">
        <f t="shared" si="40"/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93</v>
      </c>
      <c r="AU40">
        <v>62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1</v>
      </c>
      <c r="BJ40" t="s">
        <v>3</v>
      </c>
      <c r="BM40">
        <v>9001</v>
      </c>
      <c r="BN40">
        <v>0</v>
      </c>
      <c r="BO40" t="s">
        <v>3</v>
      </c>
      <c r="BP40">
        <v>0</v>
      </c>
      <c r="BQ40">
        <v>2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93</v>
      </c>
      <c r="CA40">
        <v>62</v>
      </c>
      <c r="CB40" t="s">
        <v>3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41"/>
        <v>0</v>
      </c>
      <c r="CQ40">
        <f t="shared" si="42"/>
        <v>0</v>
      </c>
      <c r="CR40">
        <f t="shared" si="43"/>
        <v>0</v>
      </c>
      <c r="CS40">
        <f t="shared" si="44"/>
        <v>0</v>
      </c>
      <c r="CT40">
        <f t="shared" si="45"/>
        <v>0</v>
      </c>
      <c r="CU40">
        <f t="shared" si="46"/>
        <v>0</v>
      </c>
      <c r="CV40">
        <f t="shared" si="47"/>
        <v>0</v>
      </c>
      <c r="CW40">
        <f t="shared" si="48"/>
        <v>0</v>
      </c>
      <c r="CX40">
        <f t="shared" si="49"/>
        <v>0</v>
      </c>
      <c r="CY40">
        <f t="shared" si="50"/>
        <v>0</v>
      </c>
      <c r="CZ40">
        <f t="shared" si="51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1009</v>
      </c>
      <c r="DV40" t="s">
        <v>69</v>
      </c>
      <c r="DW40" t="s">
        <v>69</v>
      </c>
      <c r="DX40">
        <v>1000</v>
      </c>
      <c r="DZ40" t="s">
        <v>3</v>
      </c>
      <c r="EA40" t="s">
        <v>3</v>
      </c>
      <c r="EB40" t="s">
        <v>3</v>
      </c>
      <c r="EC40" t="s">
        <v>3</v>
      </c>
      <c r="EE40">
        <v>53217556</v>
      </c>
      <c r="EF40">
        <v>2</v>
      </c>
      <c r="EG40" t="s">
        <v>20</v>
      </c>
      <c r="EH40">
        <v>9</v>
      </c>
      <c r="EI40" t="s">
        <v>21</v>
      </c>
      <c r="EJ40">
        <v>1</v>
      </c>
      <c r="EK40">
        <v>9001</v>
      </c>
      <c r="EL40" t="s">
        <v>21</v>
      </c>
      <c r="EM40" t="s">
        <v>22</v>
      </c>
      <c r="EO40" t="s">
        <v>3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FQ40">
        <v>0</v>
      </c>
      <c r="FR40">
        <f t="shared" si="52"/>
        <v>0</v>
      </c>
      <c r="FS40">
        <v>0</v>
      </c>
      <c r="FX40">
        <v>93</v>
      </c>
      <c r="FY40">
        <v>62</v>
      </c>
      <c r="GA40" t="s">
        <v>3</v>
      </c>
      <c r="GD40">
        <v>1</v>
      </c>
      <c r="GF40">
        <v>-427710810</v>
      </c>
      <c r="GG40">
        <v>2</v>
      </c>
      <c r="GH40">
        <v>1</v>
      </c>
      <c r="GI40">
        <v>4</v>
      </c>
      <c r="GJ40">
        <v>0</v>
      </c>
      <c r="GK40">
        <v>0</v>
      </c>
      <c r="GL40">
        <f t="shared" si="53"/>
        <v>0</v>
      </c>
      <c r="GM40">
        <f t="shared" si="54"/>
        <v>0</v>
      </c>
      <c r="GN40">
        <f t="shared" si="55"/>
        <v>0</v>
      </c>
      <c r="GO40">
        <f t="shared" si="56"/>
        <v>0</v>
      </c>
      <c r="GP40">
        <f t="shared" si="57"/>
        <v>0</v>
      </c>
      <c r="GR40">
        <v>0</v>
      </c>
      <c r="GS40">
        <v>3</v>
      </c>
      <c r="GT40">
        <v>0</v>
      </c>
      <c r="GU40" t="s">
        <v>3</v>
      </c>
      <c r="GV40">
        <f t="shared" si="58"/>
        <v>0</v>
      </c>
      <c r="GW40">
        <v>1</v>
      </c>
      <c r="GX40">
        <f t="shared" si="59"/>
        <v>0</v>
      </c>
      <c r="HA40">
        <v>0</v>
      </c>
      <c r="HB40">
        <v>0</v>
      </c>
      <c r="HC40">
        <f t="shared" si="60"/>
        <v>0</v>
      </c>
      <c r="HE40" t="s">
        <v>3</v>
      </c>
      <c r="HF40" t="s">
        <v>3</v>
      </c>
      <c r="HI40">
        <f t="shared" si="61"/>
        <v>0</v>
      </c>
      <c r="HJ40">
        <f t="shared" si="62"/>
        <v>0</v>
      </c>
      <c r="HK40">
        <f t="shared" si="63"/>
        <v>0</v>
      </c>
      <c r="HL40">
        <f t="shared" si="64"/>
        <v>0</v>
      </c>
      <c r="HM40" t="s">
        <v>3</v>
      </c>
      <c r="HN40" t="s">
        <v>23</v>
      </c>
      <c r="HO40" t="s">
        <v>24</v>
      </c>
      <c r="HP40" t="s">
        <v>21</v>
      </c>
      <c r="HQ40" t="s">
        <v>21</v>
      </c>
      <c r="IK40">
        <v>0</v>
      </c>
    </row>
    <row r="41" spans="1:245" x14ac:dyDescent="0.2">
      <c r="A41">
        <v>17</v>
      </c>
      <c r="B41">
        <v>1</v>
      </c>
      <c r="E41" t="s">
        <v>84</v>
      </c>
      <c r="F41" t="s">
        <v>85</v>
      </c>
      <c r="G41" t="s">
        <v>86</v>
      </c>
      <c r="H41" t="s">
        <v>36</v>
      </c>
      <c r="I41">
        <v>62</v>
      </c>
      <c r="J41">
        <v>0</v>
      </c>
      <c r="K41">
        <v>62</v>
      </c>
      <c r="O41">
        <f t="shared" si="21"/>
        <v>1116</v>
      </c>
      <c r="P41">
        <f t="shared" si="22"/>
        <v>1116</v>
      </c>
      <c r="Q41">
        <f t="shared" si="23"/>
        <v>0</v>
      </c>
      <c r="R41">
        <f t="shared" si="24"/>
        <v>0</v>
      </c>
      <c r="S41">
        <f t="shared" si="25"/>
        <v>0</v>
      </c>
      <c r="T41">
        <f t="shared" si="26"/>
        <v>0</v>
      </c>
      <c r="U41">
        <f t="shared" si="27"/>
        <v>0</v>
      </c>
      <c r="V41">
        <f t="shared" si="28"/>
        <v>0</v>
      </c>
      <c r="W41">
        <f t="shared" si="29"/>
        <v>0</v>
      </c>
      <c r="X41">
        <f t="shared" si="30"/>
        <v>0</v>
      </c>
      <c r="Y41">
        <f t="shared" si="31"/>
        <v>0</v>
      </c>
      <c r="AA41">
        <v>53679809</v>
      </c>
      <c r="AB41">
        <f t="shared" si="32"/>
        <v>18</v>
      </c>
      <c r="AC41">
        <f t="shared" si="33"/>
        <v>18</v>
      </c>
      <c r="AD41">
        <f t="shared" si="34"/>
        <v>0</v>
      </c>
      <c r="AE41">
        <f t="shared" si="35"/>
        <v>0</v>
      </c>
      <c r="AF41">
        <f t="shared" si="36"/>
        <v>0</v>
      </c>
      <c r="AG41">
        <f t="shared" si="37"/>
        <v>0</v>
      </c>
      <c r="AH41">
        <f t="shared" si="38"/>
        <v>0</v>
      </c>
      <c r="AI41">
        <f t="shared" si="39"/>
        <v>0</v>
      </c>
      <c r="AJ41">
        <f t="shared" si="40"/>
        <v>0</v>
      </c>
      <c r="AK41">
        <v>17.79</v>
      </c>
      <c r="AL41">
        <v>17.79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1</v>
      </c>
      <c r="BJ41" t="s">
        <v>87</v>
      </c>
      <c r="BM41">
        <v>500001</v>
      </c>
      <c r="BN41">
        <v>0</v>
      </c>
      <c r="BO41" t="s">
        <v>3</v>
      </c>
      <c r="BP41">
        <v>0</v>
      </c>
      <c r="BQ41">
        <v>8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0</v>
      </c>
      <c r="CA41">
        <v>0</v>
      </c>
      <c r="CB41" t="s">
        <v>3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41"/>
        <v>1116</v>
      </c>
      <c r="CQ41">
        <f t="shared" si="42"/>
        <v>18</v>
      </c>
      <c r="CR41">
        <f t="shared" si="43"/>
        <v>0</v>
      </c>
      <c r="CS41">
        <f t="shared" si="44"/>
        <v>0</v>
      </c>
      <c r="CT41">
        <f t="shared" si="45"/>
        <v>0</v>
      </c>
      <c r="CU41">
        <f t="shared" si="46"/>
        <v>0</v>
      </c>
      <c r="CV41">
        <f t="shared" si="47"/>
        <v>0</v>
      </c>
      <c r="CW41">
        <f t="shared" si="48"/>
        <v>0</v>
      </c>
      <c r="CX41">
        <f t="shared" si="49"/>
        <v>0</v>
      </c>
      <c r="CY41">
        <f t="shared" si="50"/>
        <v>0</v>
      </c>
      <c r="CZ41">
        <f t="shared" si="51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1003</v>
      </c>
      <c r="DV41" t="s">
        <v>36</v>
      </c>
      <c r="DW41" t="s">
        <v>36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53217489</v>
      </c>
      <c r="EF41">
        <v>8</v>
      </c>
      <c r="EG41" t="s">
        <v>38</v>
      </c>
      <c r="EH41">
        <v>0</v>
      </c>
      <c r="EI41" t="s">
        <v>3</v>
      </c>
      <c r="EJ41">
        <v>1</v>
      </c>
      <c r="EK41">
        <v>500001</v>
      </c>
      <c r="EL41" t="s">
        <v>39</v>
      </c>
      <c r="EM41" t="s">
        <v>40</v>
      </c>
      <c r="EO41" t="s">
        <v>3</v>
      </c>
      <c r="EQ41">
        <v>0</v>
      </c>
      <c r="ER41">
        <v>17.79</v>
      </c>
      <c r="ES41">
        <v>17.79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FQ41">
        <v>0</v>
      </c>
      <c r="FR41">
        <f t="shared" si="52"/>
        <v>0</v>
      </c>
      <c r="FS41">
        <v>0</v>
      </c>
      <c r="FX41">
        <v>0</v>
      </c>
      <c r="FY41">
        <v>0</v>
      </c>
      <c r="GA41" t="s">
        <v>3</v>
      </c>
      <c r="GD41">
        <v>1</v>
      </c>
      <c r="GF41">
        <v>287720</v>
      </c>
      <c r="GG41">
        <v>2</v>
      </c>
      <c r="GH41">
        <v>1</v>
      </c>
      <c r="GI41">
        <v>4</v>
      </c>
      <c r="GJ41">
        <v>0</v>
      </c>
      <c r="GK41">
        <v>0</v>
      </c>
      <c r="GL41">
        <f t="shared" si="53"/>
        <v>0</v>
      </c>
      <c r="GM41">
        <f t="shared" si="54"/>
        <v>1116</v>
      </c>
      <c r="GN41">
        <f t="shared" si="55"/>
        <v>1116</v>
      </c>
      <c r="GO41">
        <f t="shared" si="56"/>
        <v>0</v>
      </c>
      <c r="GP41">
        <f t="shared" si="57"/>
        <v>0</v>
      </c>
      <c r="GR41">
        <v>0</v>
      </c>
      <c r="GS41">
        <v>3</v>
      </c>
      <c r="GT41">
        <v>0</v>
      </c>
      <c r="GU41" t="s">
        <v>3</v>
      </c>
      <c r="GV41">
        <f t="shared" si="58"/>
        <v>0</v>
      </c>
      <c r="GW41">
        <v>1</v>
      </c>
      <c r="GX41">
        <f t="shared" si="59"/>
        <v>0</v>
      </c>
      <c r="HA41">
        <v>0</v>
      </c>
      <c r="HB41">
        <v>0</v>
      </c>
      <c r="HC41">
        <f t="shared" si="60"/>
        <v>0</v>
      </c>
      <c r="HE41" t="s">
        <v>3</v>
      </c>
      <c r="HF41" t="s">
        <v>3</v>
      </c>
      <c r="HI41">
        <f t="shared" si="61"/>
        <v>0</v>
      </c>
      <c r="HJ41">
        <f t="shared" si="62"/>
        <v>0</v>
      </c>
      <c r="HK41">
        <f t="shared" si="63"/>
        <v>0</v>
      </c>
      <c r="HL41">
        <f t="shared" si="64"/>
        <v>0</v>
      </c>
      <c r="HM41" t="s">
        <v>3</v>
      </c>
      <c r="HN41" t="s">
        <v>3</v>
      </c>
      <c r="HO41" t="s">
        <v>3</v>
      </c>
      <c r="HP41" t="s">
        <v>3</v>
      </c>
      <c r="HQ41" t="s">
        <v>3</v>
      </c>
      <c r="IK41">
        <v>0</v>
      </c>
    </row>
    <row r="42" spans="1:245" x14ac:dyDescent="0.2">
      <c r="A42">
        <v>17</v>
      </c>
      <c r="B42">
        <v>1</v>
      </c>
      <c r="C42">
        <f>ROW(SmtRes!A33)</f>
        <v>33</v>
      </c>
      <c r="D42">
        <f>ROW(EtalonRes!A36)</f>
        <v>36</v>
      </c>
      <c r="E42" t="s">
        <v>88</v>
      </c>
      <c r="F42" t="s">
        <v>89</v>
      </c>
      <c r="G42" t="s">
        <v>90</v>
      </c>
      <c r="H42" t="s">
        <v>48</v>
      </c>
      <c r="I42">
        <f>ROUND(18.36/100,7)</f>
        <v>0.18360000000000001</v>
      </c>
      <c r="J42">
        <v>0</v>
      </c>
      <c r="K42">
        <f>ROUND(18.36/100,7)</f>
        <v>0.18360000000000001</v>
      </c>
      <c r="O42">
        <f t="shared" si="21"/>
        <v>67</v>
      </c>
      <c r="P42">
        <f t="shared" si="22"/>
        <v>10</v>
      </c>
      <c r="Q42">
        <f t="shared" si="23"/>
        <v>5</v>
      </c>
      <c r="R42">
        <f t="shared" si="24"/>
        <v>1</v>
      </c>
      <c r="S42">
        <f t="shared" si="25"/>
        <v>52</v>
      </c>
      <c r="T42">
        <f t="shared" si="26"/>
        <v>0</v>
      </c>
      <c r="U42">
        <f t="shared" si="27"/>
        <v>5.9486400000000001</v>
      </c>
      <c r="V42">
        <f t="shared" si="28"/>
        <v>5.8752000000000006E-2</v>
      </c>
      <c r="W42">
        <f t="shared" si="29"/>
        <v>0</v>
      </c>
      <c r="X42">
        <f t="shared" si="30"/>
        <v>58</v>
      </c>
      <c r="Y42">
        <f t="shared" si="31"/>
        <v>30</v>
      </c>
      <c r="AA42">
        <v>53679809</v>
      </c>
      <c r="AB42">
        <f t="shared" si="32"/>
        <v>368</v>
      </c>
      <c r="AC42">
        <f t="shared" si="33"/>
        <v>57</v>
      </c>
      <c r="AD42">
        <f t="shared" si="34"/>
        <v>28</v>
      </c>
      <c r="AE42">
        <f t="shared" si="35"/>
        <v>4</v>
      </c>
      <c r="AF42">
        <f t="shared" si="36"/>
        <v>283</v>
      </c>
      <c r="AG42">
        <f t="shared" si="37"/>
        <v>0</v>
      </c>
      <c r="AH42">
        <f t="shared" si="38"/>
        <v>32.4</v>
      </c>
      <c r="AI42">
        <f t="shared" si="39"/>
        <v>0.32</v>
      </c>
      <c r="AJ42">
        <f t="shared" si="40"/>
        <v>0</v>
      </c>
      <c r="AK42">
        <v>368.49</v>
      </c>
      <c r="AL42">
        <v>57.28</v>
      </c>
      <c r="AM42">
        <v>28.03</v>
      </c>
      <c r="AN42">
        <v>4.04</v>
      </c>
      <c r="AO42">
        <v>283.18</v>
      </c>
      <c r="AP42">
        <v>0</v>
      </c>
      <c r="AQ42">
        <v>32.4</v>
      </c>
      <c r="AR42">
        <v>0.32</v>
      </c>
      <c r="AS42">
        <v>0</v>
      </c>
      <c r="AT42">
        <v>109</v>
      </c>
      <c r="AU42">
        <v>57</v>
      </c>
      <c r="AV42">
        <v>1</v>
      </c>
      <c r="AW42">
        <v>1</v>
      </c>
      <c r="AZ42">
        <v>1</v>
      </c>
      <c r="BA42">
        <v>32.909999999999997</v>
      </c>
      <c r="BB42">
        <v>1</v>
      </c>
      <c r="BC42">
        <v>1</v>
      </c>
      <c r="BD42" t="s">
        <v>3</v>
      </c>
      <c r="BE42" t="s">
        <v>3</v>
      </c>
      <c r="BF42" t="s">
        <v>3</v>
      </c>
      <c r="BG42" t="s">
        <v>3</v>
      </c>
      <c r="BH42">
        <v>0</v>
      </c>
      <c r="BI42">
        <v>1</v>
      </c>
      <c r="BJ42" t="s">
        <v>91</v>
      </c>
      <c r="BM42">
        <v>12001</v>
      </c>
      <c r="BN42">
        <v>0</v>
      </c>
      <c r="BO42" t="s">
        <v>3</v>
      </c>
      <c r="BP42">
        <v>0</v>
      </c>
      <c r="BQ42">
        <v>2</v>
      </c>
      <c r="BR42">
        <v>0</v>
      </c>
      <c r="BS42">
        <v>32.909999999999997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109</v>
      </c>
      <c r="CA42">
        <v>57</v>
      </c>
      <c r="CB42" t="s">
        <v>3</v>
      </c>
      <c r="CE42">
        <v>0</v>
      </c>
      <c r="CF42">
        <v>0</v>
      </c>
      <c r="CG42">
        <v>0</v>
      </c>
      <c r="CM42">
        <v>0</v>
      </c>
      <c r="CN42" t="s">
        <v>3</v>
      </c>
      <c r="CO42">
        <v>0</v>
      </c>
      <c r="CP42">
        <f t="shared" si="41"/>
        <v>67</v>
      </c>
      <c r="CQ42">
        <f t="shared" si="42"/>
        <v>57</v>
      </c>
      <c r="CR42">
        <f t="shared" si="43"/>
        <v>28</v>
      </c>
      <c r="CS42">
        <f t="shared" si="44"/>
        <v>4</v>
      </c>
      <c r="CT42">
        <f t="shared" si="45"/>
        <v>283</v>
      </c>
      <c r="CU42">
        <f t="shared" si="46"/>
        <v>0</v>
      </c>
      <c r="CV42">
        <f t="shared" si="47"/>
        <v>32.4</v>
      </c>
      <c r="CW42">
        <f t="shared" si="48"/>
        <v>0.32</v>
      </c>
      <c r="CX42">
        <f t="shared" si="49"/>
        <v>0</v>
      </c>
      <c r="CY42">
        <f t="shared" si="50"/>
        <v>57.77</v>
      </c>
      <c r="CZ42">
        <f t="shared" si="51"/>
        <v>30.21</v>
      </c>
      <c r="DC42" t="s">
        <v>3</v>
      </c>
      <c r="DD42" t="s">
        <v>3</v>
      </c>
      <c r="DE42" t="s">
        <v>3</v>
      </c>
      <c r="DF42" t="s">
        <v>3</v>
      </c>
      <c r="DG42" t="s">
        <v>3</v>
      </c>
      <c r="DH42" t="s">
        <v>3</v>
      </c>
      <c r="DI42" t="s">
        <v>3</v>
      </c>
      <c r="DJ42" t="s">
        <v>3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U42">
        <v>1005</v>
      </c>
      <c r="DV42" t="s">
        <v>48</v>
      </c>
      <c r="DW42" t="s">
        <v>48</v>
      </c>
      <c r="DX42">
        <v>100</v>
      </c>
      <c r="DZ42" t="s">
        <v>3</v>
      </c>
      <c r="EA42" t="s">
        <v>3</v>
      </c>
      <c r="EB42" t="s">
        <v>3</v>
      </c>
      <c r="EC42" t="s">
        <v>3</v>
      </c>
      <c r="EE42">
        <v>53217559</v>
      </c>
      <c r="EF42">
        <v>2</v>
      </c>
      <c r="EG42" t="s">
        <v>20</v>
      </c>
      <c r="EH42">
        <v>12</v>
      </c>
      <c r="EI42" t="s">
        <v>92</v>
      </c>
      <c r="EJ42">
        <v>1</v>
      </c>
      <c r="EK42">
        <v>12001</v>
      </c>
      <c r="EL42" t="s">
        <v>92</v>
      </c>
      <c r="EM42" t="s">
        <v>93</v>
      </c>
      <c r="EO42" t="s">
        <v>3</v>
      </c>
      <c r="EQ42">
        <v>0</v>
      </c>
      <c r="ER42">
        <v>368.49</v>
      </c>
      <c r="ES42">
        <v>57.28</v>
      </c>
      <c r="ET42">
        <v>28.03</v>
      </c>
      <c r="EU42">
        <v>4.04</v>
      </c>
      <c r="EV42">
        <v>283.18</v>
      </c>
      <c r="EW42">
        <v>32.4</v>
      </c>
      <c r="EX42">
        <v>0.32</v>
      </c>
      <c r="EY42">
        <v>0</v>
      </c>
      <c r="FQ42">
        <v>0</v>
      </c>
      <c r="FR42">
        <f t="shared" si="52"/>
        <v>0</v>
      </c>
      <c r="FS42">
        <v>0</v>
      </c>
      <c r="FX42">
        <v>109</v>
      </c>
      <c r="FY42">
        <v>57</v>
      </c>
      <c r="GA42" t="s">
        <v>3</v>
      </c>
      <c r="GD42">
        <v>1</v>
      </c>
      <c r="GF42">
        <v>-975173446</v>
      </c>
      <c r="GG42">
        <v>2</v>
      </c>
      <c r="GH42">
        <v>1</v>
      </c>
      <c r="GI42">
        <v>4</v>
      </c>
      <c r="GJ42">
        <v>0</v>
      </c>
      <c r="GK42">
        <v>0</v>
      </c>
      <c r="GL42">
        <f t="shared" si="53"/>
        <v>0</v>
      </c>
      <c r="GM42">
        <f t="shared" si="54"/>
        <v>155</v>
      </c>
      <c r="GN42">
        <f t="shared" si="55"/>
        <v>155</v>
      </c>
      <c r="GO42">
        <f t="shared" si="56"/>
        <v>0</v>
      </c>
      <c r="GP42">
        <f t="shared" si="57"/>
        <v>0</v>
      </c>
      <c r="GR42">
        <v>0</v>
      </c>
      <c r="GS42">
        <v>3</v>
      </c>
      <c r="GT42">
        <v>0</v>
      </c>
      <c r="GU42" t="s">
        <v>3</v>
      </c>
      <c r="GV42">
        <f t="shared" si="58"/>
        <v>0</v>
      </c>
      <c r="GW42">
        <v>1</v>
      </c>
      <c r="GX42">
        <f t="shared" si="59"/>
        <v>0</v>
      </c>
      <c r="HA42">
        <v>0</v>
      </c>
      <c r="HB42">
        <v>0</v>
      </c>
      <c r="HC42">
        <f t="shared" si="60"/>
        <v>0</v>
      </c>
      <c r="HE42" t="s">
        <v>3</v>
      </c>
      <c r="HF42" t="s">
        <v>3</v>
      </c>
      <c r="HI42">
        <f t="shared" si="61"/>
        <v>33</v>
      </c>
      <c r="HJ42">
        <f t="shared" si="62"/>
        <v>1711</v>
      </c>
      <c r="HK42">
        <f t="shared" si="63"/>
        <v>1901</v>
      </c>
      <c r="HL42">
        <f t="shared" si="64"/>
        <v>994</v>
      </c>
      <c r="HM42" t="s">
        <v>3</v>
      </c>
      <c r="HN42" t="s">
        <v>94</v>
      </c>
      <c r="HO42" t="s">
        <v>95</v>
      </c>
      <c r="HP42" t="s">
        <v>92</v>
      </c>
      <c r="HQ42" t="s">
        <v>92</v>
      </c>
      <c r="IK42">
        <v>0</v>
      </c>
    </row>
    <row r="43" spans="1:245" x14ac:dyDescent="0.2">
      <c r="A43">
        <v>18</v>
      </c>
      <c r="B43">
        <v>1</v>
      </c>
      <c r="C43">
        <v>29</v>
      </c>
      <c r="E43" t="s">
        <v>96</v>
      </c>
      <c r="F43" t="s">
        <v>97</v>
      </c>
      <c r="G43" t="s">
        <v>98</v>
      </c>
      <c r="H43" t="s">
        <v>99</v>
      </c>
      <c r="I43">
        <f>I42*J43</f>
        <v>0.51958800000000005</v>
      </c>
      <c r="J43">
        <v>2.83</v>
      </c>
      <c r="K43">
        <v>2.83</v>
      </c>
      <c r="O43">
        <f t="shared" si="21"/>
        <v>1</v>
      </c>
      <c r="P43">
        <f t="shared" si="22"/>
        <v>1</v>
      </c>
      <c r="Q43">
        <f t="shared" si="23"/>
        <v>0</v>
      </c>
      <c r="R43">
        <f t="shared" si="24"/>
        <v>0</v>
      </c>
      <c r="S43">
        <f t="shared" si="25"/>
        <v>0</v>
      </c>
      <c r="T43">
        <f t="shared" si="26"/>
        <v>0</v>
      </c>
      <c r="U43">
        <f t="shared" si="27"/>
        <v>0</v>
      </c>
      <c r="V43">
        <f t="shared" si="28"/>
        <v>0</v>
      </c>
      <c r="W43">
        <f t="shared" si="29"/>
        <v>0</v>
      </c>
      <c r="X43">
        <f t="shared" si="30"/>
        <v>0</v>
      </c>
      <c r="Y43">
        <f t="shared" si="31"/>
        <v>0</v>
      </c>
      <c r="AA43">
        <v>53679809</v>
      </c>
      <c r="AB43">
        <f t="shared" si="32"/>
        <v>1</v>
      </c>
      <c r="AC43">
        <f t="shared" si="33"/>
        <v>1</v>
      </c>
      <c r="AD43">
        <f t="shared" si="34"/>
        <v>0</v>
      </c>
      <c r="AE43">
        <f t="shared" si="35"/>
        <v>0</v>
      </c>
      <c r="AF43">
        <f t="shared" si="36"/>
        <v>0</v>
      </c>
      <c r="AG43">
        <f t="shared" si="37"/>
        <v>0</v>
      </c>
      <c r="AH43">
        <f t="shared" si="38"/>
        <v>0</v>
      </c>
      <c r="AI43">
        <f t="shared" si="39"/>
        <v>0</v>
      </c>
      <c r="AJ43">
        <f t="shared" si="40"/>
        <v>0</v>
      </c>
      <c r="AK43">
        <v>1</v>
      </c>
      <c r="AL43">
        <v>1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109</v>
      </c>
      <c r="AU43">
        <v>57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1</v>
      </c>
      <c r="BD43" t="s">
        <v>3</v>
      </c>
      <c r="BE43" t="s">
        <v>3</v>
      </c>
      <c r="BF43" t="s">
        <v>3</v>
      </c>
      <c r="BG43" t="s">
        <v>3</v>
      </c>
      <c r="BH43">
        <v>3</v>
      </c>
      <c r="BI43">
        <v>1</v>
      </c>
      <c r="BJ43" t="s">
        <v>100</v>
      </c>
      <c r="BM43">
        <v>12001</v>
      </c>
      <c r="BN43">
        <v>0</v>
      </c>
      <c r="BO43" t="s">
        <v>3</v>
      </c>
      <c r="BP43">
        <v>0</v>
      </c>
      <c r="BQ43">
        <v>2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109</v>
      </c>
      <c r="CA43">
        <v>57</v>
      </c>
      <c r="CB43" t="s">
        <v>3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41"/>
        <v>1</v>
      </c>
      <c r="CQ43">
        <f t="shared" si="42"/>
        <v>1</v>
      </c>
      <c r="CR43">
        <f t="shared" si="43"/>
        <v>0</v>
      </c>
      <c r="CS43">
        <f t="shared" si="44"/>
        <v>0</v>
      </c>
      <c r="CT43">
        <f t="shared" si="45"/>
        <v>0</v>
      </c>
      <c r="CU43">
        <f t="shared" si="46"/>
        <v>0</v>
      </c>
      <c r="CV43">
        <f t="shared" si="47"/>
        <v>0</v>
      </c>
      <c r="CW43">
        <f t="shared" si="48"/>
        <v>0</v>
      </c>
      <c r="CX43">
        <f t="shared" si="49"/>
        <v>0</v>
      </c>
      <c r="CY43">
        <f t="shared" si="50"/>
        <v>0</v>
      </c>
      <c r="CZ43">
        <f t="shared" si="51"/>
        <v>0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1013</v>
      </c>
      <c r="DV43" t="s">
        <v>99</v>
      </c>
      <c r="DW43" t="s">
        <v>99</v>
      </c>
      <c r="DX43">
        <v>1</v>
      </c>
      <c r="DZ43" t="s">
        <v>3</v>
      </c>
      <c r="EA43" t="s">
        <v>3</v>
      </c>
      <c r="EB43" t="s">
        <v>3</v>
      </c>
      <c r="EC43" t="s">
        <v>3</v>
      </c>
      <c r="EE43">
        <v>53217559</v>
      </c>
      <c r="EF43">
        <v>2</v>
      </c>
      <c r="EG43" t="s">
        <v>20</v>
      </c>
      <c r="EH43">
        <v>12</v>
      </c>
      <c r="EI43" t="s">
        <v>92</v>
      </c>
      <c r="EJ43">
        <v>1</v>
      </c>
      <c r="EK43">
        <v>12001</v>
      </c>
      <c r="EL43" t="s">
        <v>92</v>
      </c>
      <c r="EM43" t="s">
        <v>93</v>
      </c>
      <c r="EO43" t="s">
        <v>3</v>
      </c>
      <c r="EQ43">
        <v>0</v>
      </c>
      <c r="ER43">
        <v>1</v>
      </c>
      <c r="ES43">
        <v>1</v>
      </c>
      <c r="ET43">
        <v>0</v>
      </c>
      <c r="EU43">
        <v>0</v>
      </c>
      <c r="EV43">
        <v>0</v>
      </c>
      <c r="EW43">
        <v>0</v>
      </c>
      <c r="EX43">
        <v>0</v>
      </c>
      <c r="FQ43">
        <v>0</v>
      </c>
      <c r="FR43">
        <f t="shared" si="52"/>
        <v>0</v>
      </c>
      <c r="FS43">
        <v>0</v>
      </c>
      <c r="FX43">
        <v>109</v>
      </c>
      <c r="FY43">
        <v>57</v>
      </c>
      <c r="GA43" t="s">
        <v>3</v>
      </c>
      <c r="GD43">
        <v>1</v>
      </c>
      <c r="GF43">
        <v>-2074729453</v>
      </c>
      <c r="GG43">
        <v>2</v>
      </c>
      <c r="GH43">
        <v>1</v>
      </c>
      <c r="GI43">
        <v>4</v>
      </c>
      <c r="GJ43">
        <v>0</v>
      </c>
      <c r="GK43">
        <v>0</v>
      </c>
      <c r="GL43">
        <f t="shared" si="53"/>
        <v>0</v>
      </c>
      <c r="GM43">
        <f t="shared" si="54"/>
        <v>1</v>
      </c>
      <c r="GN43">
        <f t="shared" si="55"/>
        <v>1</v>
      </c>
      <c r="GO43">
        <f t="shared" si="56"/>
        <v>0</v>
      </c>
      <c r="GP43">
        <f t="shared" si="57"/>
        <v>0</v>
      </c>
      <c r="GR43">
        <v>0</v>
      </c>
      <c r="GS43">
        <v>3</v>
      </c>
      <c r="GT43">
        <v>0</v>
      </c>
      <c r="GU43" t="s">
        <v>3</v>
      </c>
      <c r="GV43">
        <f t="shared" si="58"/>
        <v>0</v>
      </c>
      <c r="GW43">
        <v>1</v>
      </c>
      <c r="GX43">
        <f t="shared" si="59"/>
        <v>0</v>
      </c>
      <c r="HA43">
        <v>0</v>
      </c>
      <c r="HB43">
        <v>0</v>
      </c>
      <c r="HC43">
        <f t="shared" si="60"/>
        <v>0</v>
      </c>
      <c r="HE43" t="s">
        <v>3</v>
      </c>
      <c r="HF43" t="s">
        <v>3</v>
      </c>
      <c r="HI43">
        <f t="shared" si="61"/>
        <v>0</v>
      </c>
      <c r="HJ43">
        <f t="shared" si="62"/>
        <v>0</v>
      </c>
      <c r="HK43">
        <f t="shared" si="63"/>
        <v>0</v>
      </c>
      <c r="HL43">
        <f t="shared" si="64"/>
        <v>0</v>
      </c>
      <c r="HM43" t="s">
        <v>3</v>
      </c>
      <c r="HN43" t="s">
        <v>94</v>
      </c>
      <c r="HO43" t="s">
        <v>95</v>
      </c>
      <c r="HP43" t="s">
        <v>92</v>
      </c>
      <c r="HQ43" t="s">
        <v>92</v>
      </c>
      <c r="IK43">
        <v>0</v>
      </c>
    </row>
    <row r="44" spans="1:245" x14ac:dyDescent="0.2">
      <c r="A44">
        <v>18</v>
      </c>
      <c r="B44">
        <v>1</v>
      </c>
      <c r="C44">
        <v>32</v>
      </c>
      <c r="E44" t="s">
        <v>101</v>
      </c>
      <c r="F44" t="s">
        <v>102</v>
      </c>
      <c r="G44" t="s">
        <v>103</v>
      </c>
      <c r="H44" t="s">
        <v>32</v>
      </c>
      <c r="I44">
        <f>I42*J44</f>
        <v>0</v>
      </c>
      <c r="J44">
        <v>0</v>
      </c>
      <c r="K44">
        <v>0</v>
      </c>
      <c r="O44">
        <f t="shared" si="21"/>
        <v>0</v>
      </c>
      <c r="P44">
        <f t="shared" si="22"/>
        <v>0</v>
      </c>
      <c r="Q44">
        <f t="shared" si="23"/>
        <v>0</v>
      </c>
      <c r="R44">
        <f t="shared" si="24"/>
        <v>0</v>
      </c>
      <c r="S44">
        <f t="shared" si="25"/>
        <v>0</v>
      </c>
      <c r="T44">
        <f t="shared" si="26"/>
        <v>0</v>
      </c>
      <c r="U44">
        <f t="shared" si="27"/>
        <v>0</v>
      </c>
      <c r="V44">
        <f t="shared" si="28"/>
        <v>0</v>
      </c>
      <c r="W44">
        <f t="shared" si="29"/>
        <v>0</v>
      </c>
      <c r="X44">
        <f t="shared" si="30"/>
        <v>0</v>
      </c>
      <c r="Y44">
        <f t="shared" si="31"/>
        <v>0</v>
      </c>
      <c r="AA44">
        <v>53679809</v>
      </c>
      <c r="AB44">
        <f t="shared" si="32"/>
        <v>0</v>
      </c>
      <c r="AC44">
        <f t="shared" si="33"/>
        <v>0</v>
      </c>
      <c r="AD44">
        <f t="shared" si="34"/>
        <v>0</v>
      </c>
      <c r="AE44">
        <f t="shared" si="35"/>
        <v>0</v>
      </c>
      <c r="AF44">
        <f t="shared" si="36"/>
        <v>0</v>
      </c>
      <c r="AG44">
        <f t="shared" si="37"/>
        <v>0</v>
      </c>
      <c r="AH44">
        <f t="shared" si="38"/>
        <v>0</v>
      </c>
      <c r="AI44">
        <f t="shared" si="39"/>
        <v>0</v>
      </c>
      <c r="AJ44">
        <f t="shared" si="40"/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109</v>
      </c>
      <c r="AU44">
        <v>57</v>
      </c>
      <c r="AV44">
        <v>1</v>
      </c>
      <c r="AW44">
        <v>1</v>
      </c>
      <c r="AZ44">
        <v>1</v>
      </c>
      <c r="BA44">
        <v>1</v>
      </c>
      <c r="BB44">
        <v>1</v>
      </c>
      <c r="BC44">
        <v>1</v>
      </c>
      <c r="BD44" t="s">
        <v>3</v>
      </c>
      <c r="BE44" t="s">
        <v>3</v>
      </c>
      <c r="BF44" t="s">
        <v>3</v>
      </c>
      <c r="BG44" t="s">
        <v>3</v>
      </c>
      <c r="BH44">
        <v>3</v>
      </c>
      <c r="BI44">
        <v>1</v>
      </c>
      <c r="BJ44" t="s">
        <v>3</v>
      </c>
      <c r="BM44">
        <v>12001</v>
      </c>
      <c r="BN44">
        <v>0</v>
      </c>
      <c r="BO44" t="s">
        <v>3</v>
      </c>
      <c r="BP44">
        <v>0</v>
      </c>
      <c r="BQ44">
        <v>2</v>
      </c>
      <c r="BR44">
        <v>0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109</v>
      </c>
      <c r="CA44">
        <v>57</v>
      </c>
      <c r="CB44" t="s">
        <v>3</v>
      </c>
      <c r="CE44">
        <v>0</v>
      </c>
      <c r="CF44">
        <v>0</v>
      </c>
      <c r="CG44">
        <v>0</v>
      </c>
      <c r="CM44">
        <v>0</v>
      </c>
      <c r="CN44" t="s">
        <v>3</v>
      </c>
      <c r="CO44">
        <v>0</v>
      </c>
      <c r="CP44">
        <f t="shared" si="41"/>
        <v>0</v>
      </c>
      <c r="CQ44">
        <f t="shared" si="42"/>
        <v>0</v>
      </c>
      <c r="CR44">
        <f t="shared" si="43"/>
        <v>0</v>
      </c>
      <c r="CS44">
        <f t="shared" si="44"/>
        <v>0</v>
      </c>
      <c r="CT44">
        <f t="shared" si="45"/>
        <v>0</v>
      </c>
      <c r="CU44">
        <f t="shared" si="46"/>
        <v>0</v>
      </c>
      <c r="CV44">
        <f t="shared" si="47"/>
        <v>0</v>
      </c>
      <c r="CW44">
        <f t="shared" si="48"/>
        <v>0</v>
      </c>
      <c r="CX44">
        <f t="shared" si="49"/>
        <v>0</v>
      </c>
      <c r="CY44">
        <f t="shared" si="50"/>
        <v>0</v>
      </c>
      <c r="CZ44">
        <f t="shared" si="51"/>
        <v>0</v>
      </c>
      <c r="DC44" t="s">
        <v>3</v>
      </c>
      <c r="DD44" t="s">
        <v>3</v>
      </c>
      <c r="DE44" t="s">
        <v>3</v>
      </c>
      <c r="DF44" t="s">
        <v>3</v>
      </c>
      <c r="DG44" t="s">
        <v>3</v>
      </c>
      <c r="DH44" t="s">
        <v>3</v>
      </c>
      <c r="DI44" t="s">
        <v>3</v>
      </c>
      <c r="DJ44" t="s">
        <v>3</v>
      </c>
      <c r="DK44" t="s">
        <v>3</v>
      </c>
      <c r="DL44" t="s">
        <v>3</v>
      </c>
      <c r="DM44" t="s">
        <v>3</v>
      </c>
      <c r="DN44">
        <v>0</v>
      </c>
      <c r="DO44">
        <v>0</v>
      </c>
      <c r="DP44">
        <v>1</v>
      </c>
      <c r="DQ44">
        <v>1</v>
      </c>
      <c r="DU44">
        <v>1013</v>
      </c>
      <c r="DV44" t="s">
        <v>32</v>
      </c>
      <c r="DW44" t="s">
        <v>32</v>
      </c>
      <c r="DX44">
        <v>1</v>
      </c>
      <c r="DZ44" t="s">
        <v>3</v>
      </c>
      <c r="EA44" t="s">
        <v>3</v>
      </c>
      <c r="EB44" t="s">
        <v>3</v>
      </c>
      <c r="EC44" t="s">
        <v>3</v>
      </c>
      <c r="EE44">
        <v>53217559</v>
      </c>
      <c r="EF44">
        <v>2</v>
      </c>
      <c r="EG44" t="s">
        <v>20</v>
      </c>
      <c r="EH44">
        <v>12</v>
      </c>
      <c r="EI44" t="s">
        <v>92</v>
      </c>
      <c r="EJ44">
        <v>1</v>
      </c>
      <c r="EK44">
        <v>12001</v>
      </c>
      <c r="EL44" t="s">
        <v>92</v>
      </c>
      <c r="EM44" t="s">
        <v>93</v>
      </c>
      <c r="EO44" t="s">
        <v>3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FQ44">
        <v>0</v>
      </c>
      <c r="FR44">
        <f t="shared" si="52"/>
        <v>0</v>
      </c>
      <c r="FS44">
        <v>0</v>
      </c>
      <c r="FX44">
        <v>109</v>
      </c>
      <c r="FY44">
        <v>57</v>
      </c>
      <c r="GA44" t="s">
        <v>3</v>
      </c>
      <c r="GD44">
        <v>1</v>
      </c>
      <c r="GF44">
        <v>1343289937</v>
      </c>
      <c r="GG44">
        <v>2</v>
      </c>
      <c r="GH44">
        <v>1</v>
      </c>
      <c r="GI44">
        <v>4</v>
      </c>
      <c r="GJ44">
        <v>0</v>
      </c>
      <c r="GK44">
        <v>0</v>
      </c>
      <c r="GL44">
        <f t="shared" si="53"/>
        <v>0</v>
      </c>
      <c r="GM44">
        <f t="shared" si="54"/>
        <v>0</v>
      </c>
      <c r="GN44">
        <f t="shared" si="55"/>
        <v>0</v>
      </c>
      <c r="GO44">
        <f t="shared" si="56"/>
        <v>0</v>
      </c>
      <c r="GP44">
        <f t="shared" si="57"/>
        <v>0</v>
      </c>
      <c r="GR44">
        <v>0</v>
      </c>
      <c r="GS44">
        <v>3</v>
      </c>
      <c r="GT44">
        <v>0</v>
      </c>
      <c r="GU44" t="s">
        <v>3</v>
      </c>
      <c r="GV44">
        <f t="shared" si="58"/>
        <v>0</v>
      </c>
      <c r="GW44">
        <v>1</v>
      </c>
      <c r="GX44">
        <f t="shared" si="59"/>
        <v>0</v>
      </c>
      <c r="HA44">
        <v>0</v>
      </c>
      <c r="HB44">
        <v>0</v>
      </c>
      <c r="HC44">
        <f t="shared" si="60"/>
        <v>0</v>
      </c>
      <c r="HE44" t="s">
        <v>3</v>
      </c>
      <c r="HF44" t="s">
        <v>3</v>
      </c>
      <c r="HI44">
        <f t="shared" si="61"/>
        <v>0</v>
      </c>
      <c r="HJ44">
        <f t="shared" si="62"/>
        <v>0</v>
      </c>
      <c r="HK44">
        <f t="shared" si="63"/>
        <v>0</v>
      </c>
      <c r="HL44">
        <f t="shared" si="64"/>
        <v>0</v>
      </c>
      <c r="HM44" t="s">
        <v>3</v>
      </c>
      <c r="HN44" t="s">
        <v>94</v>
      </c>
      <c r="HO44" t="s">
        <v>95</v>
      </c>
      <c r="HP44" t="s">
        <v>92</v>
      </c>
      <c r="HQ44" t="s">
        <v>92</v>
      </c>
      <c r="IK44">
        <v>0</v>
      </c>
    </row>
    <row r="45" spans="1:245" x14ac:dyDescent="0.2">
      <c r="A45">
        <v>18</v>
      </c>
      <c r="B45">
        <v>1</v>
      </c>
      <c r="C45">
        <v>33</v>
      </c>
      <c r="E45" t="s">
        <v>104</v>
      </c>
      <c r="F45" t="s">
        <v>105</v>
      </c>
      <c r="G45" t="s">
        <v>106</v>
      </c>
      <c r="H45" t="s">
        <v>69</v>
      </c>
      <c r="I45">
        <f>I42*J45</f>
        <v>0</v>
      </c>
      <c r="J45">
        <v>0</v>
      </c>
      <c r="K45">
        <v>0</v>
      </c>
      <c r="O45">
        <f t="shared" si="21"/>
        <v>0</v>
      </c>
      <c r="P45">
        <f t="shared" si="22"/>
        <v>0</v>
      </c>
      <c r="Q45">
        <f t="shared" si="23"/>
        <v>0</v>
      </c>
      <c r="R45">
        <f t="shared" si="24"/>
        <v>0</v>
      </c>
      <c r="S45">
        <f t="shared" si="25"/>
        <v>0</v>
      </c>
      <c r="T45">
        <f t="shared" si="26"/>
        <v>0</v>
      </c>
      <c r="U45">
        <f t="shared" si="27"/>
        <v>0</v>
      </c>
      <c r="V45">
        <f t="shared" si="28"/>
        <v>0</v>
      </c>
      <c r="W45">
        <f t="shared" si="29"/>
        <v>0</v>
      </c>
      <c r="X45">
        <f t="shared" si="30"/>
        <v>0</v>
      </c>
      <c r="Y45">
        <f t="shared" si="31"/>
        <v>0</v>
      </c>
      <c r="AA45">
        <v>53679809</v>
      </c>
      <c r="AB45">
        <f t="shared" si="32"/>
        <v>0</v>
      </c>
      <c r="AC45">
        <f t="shared" si="33"/>
        <v>0</v>
      </c>
      <c r="AD45">
        <f t="shared" si="34"/>
        <v>0</v>
      </c>
      <c r="AE45">
        <f t="shared" si="35"/>
        <v>0</v>
      </c>
      <c r="AF45">
        <f t="shared" si="36"/>
        <v>0</v>
      </c>
      <c r="AG45">
        <f t="shared" si="37"/>
        <v>0</v>
      </c>
      <c r="AH45">
        <f t="shared" si="38"/>
        <v>0</v>
      </c>
      <c r="AI45">
        <f t="shared" si="39"/>
        <v>0</v>
      </c>
      <c r="AJ45">
        <f t="shared" si="40"/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109</v>
      </c>
      <c r="AU45">
        <v>57</v>
      </c>
      <c r="AV45">
        <v>1</v>
      </c>
      <c r="AW45">
        <v>1</v>
      </c>
      <c r="AZ45">
        <v>1</v>
      </c>
      <c r="BA45">
        <v>1</v>
      </c>
      <c r="BB45">
        <v>1</v>
      </c>
      <c r="BC45">
        <v>1</v>
      </c>
      <c r="BD45" t="s">
        <v>3</v>
      </c>
      <c r="BE45" t="s">
        <v>3</v>
      </c>
      <c r="BF45" t="s">
        <v>3</v>
      </c>
      <c r="BG45" t="s">
        <v>3</v>
      </c>
      <c r="BH45">
        <v>3</v>
      </c>
      <c r="BI45">
        <v>1</v>
      </c>
      <c r="BJ45" t="s">
        <v>3</v>
      </c>
      <c r="BM45">
        <v>12001</v>
      </c>
      <c r="BN45">
        <v>0</v>
      </c>
      <c r="BO45" t="s">
        <v>3</v>
      </c>
      <c r="BP45">
        <v>0</v>
      </c>
      <c r="BQ45">
        <v>2</v>
      </c>
      <c r="BR45">
        <v>0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109</v>
      </c>
      <c r="CA45">
        <v>57</v>
      </c>
      <c r="CB45" t="s">
        <v>3</v>
      </c>
      <c r="CE45">
        <v>0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41"/>
        <v>0</v>
      </c>
      <c r="CQ45">
        <f t="shared" si="42"/>
        <v>0</v>
      </c>
      <c r="CR45">
        <f t="shared" si="43"/>
        <v>0</v>
      </c>
      <c r="CS45">
        <f t="shared" si="44"/>
        <v>0</v>
      </c>
      <c r="CT45">
        <f t="shared" si="45"/>
        <v>0</v>
      </c>
      <c r="CU45">
        <f t="shared" si="46"/>
        <v>0</v>
      </c>
      <c r="CV45">
        <f t="shared" si="47"/>
        <v>0</v>
      </c>
      <c r="CW45">
        <f t="shared" si="48"/>
        <v>0</v>
      </c>
      <c r="CX45">
        <f t="shared" si="49"/>
        <v>0</v>
      </c>
      <c r="CY45">
        <f t="shared" si="50"/>
        <v>0</v>
      </c>
      <c r="CZ45">
        <f t="shared" si="51"/>
        <v>0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1009</v>
      </c>
      <c r="DV45" t="s">
        <v>69</v>
      </c>
      <c r="DW45" t="s">
        <v>69</v>
      </c>
      <c r="DX45">
        <v>1000</v>
      </c>
      <c r="DZ45" t="s">
        <v>3</v>
      </c>
      <c r="EA45" t="s">
        <v>3</v>
      </c>
      <c r="EB45" t="s">
        <v>3</v>
      </c>
      <c r="EC45" t="s">
        <v>3</v>
      </c>
      <c r="EE45">
        <v>53217559</v>
      </c>
      <c r="EF45">
        <v>2</v>
      </c>
      <c r="EG45" t="s">
        <v>20</v>
      </c>
      <c r="EH45">
        <v>12</v>
      </c>
      <c r="EI45" t="s">
        <v>92</v>
      </c>
      <c r="EJ45">
        <v>1</v>
      </c>
      <c r="EK45">
        <v>12001</v>
      </c>
      <c r="EL45" t="s">
        <v>92</v>
      </c>
      <c r="EM45" t="s">
        <v>93</v>
      </c>
      <c r="EO45" t="s">
        <v>3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FQ45">
        <v>0</v>
      </c>
      <c r="FR45">
        <f t="shared" si="52"/>
        <v>0</v>
      </c>
      <c r="FS45">
        <v>0</v>
      </c>
      <c r="FX45">
        <v>109</v>
      </c>
      <c r="FY45">
        <v>57</v>
      </c>
      <c r="GA45" t="s">
        <v>3</v>
      </c>
      <c r="GD45">
        <v>1</v>
      </c>
      <c r="GF45">
        <v>1851278475</v>
      </c>
      <c r="GG45">
        <v>2</v>
      </c>
      <c r="GH45">
        <v>1</v>
      </c>
      <c r="GI45">
        <v>4</v>
      </c>
      <c r="GJ45">
        <v>0</v>
      </c>
      <c r="GK45">
        <v>0</v>
      </c>
      <c r="GL45">
        <f t="shared" si="53"/>
        <v>0</v>
      </c>
      <c r="GM45">
        <f t="shared" si="54"/>
        <v>0</v>
      </c>
      <c r="GN45">
        <f t="shared" si="55"/>
        <v>0</v>
      </c>
      <c r="GO45">
        <f t="shared" si="56"/>
        <v>0</v>
      </c>
      <c r="GP45">
        <f t="shared" si="57"/>
        <v>0</v>
      </c>
      <c r="GR45">
        <v>0</v>
      </c>
      <c r="GS45">
        <v>3</v>
      </c>
      <c r="GT45">
        <v>0</v>
      </c>
      <c r="GU45" t="s">
        <v>3</v>
      </c>
      <c r="GV45">
        <f t="shared" si="58"/>
        <v>0</v>
      </c>
      <c r="GW45">
        <v>1</v>
      </c>
      <c r="GX45">
        <f t="shared" si="59"/>
        <v>0</v>
      </c>
      <c r="HA45">
        <v>0</v>
      </c>
      <c r="HB45">
        <v>0</v>
      </c>
      <c r="HC45">
        <f t="shared" si="60"/>
        <v>0</v>
      </c>
      <c r="HE45" t="s">
        <v>3</v>
      </c>
      <c r="HF45" t="s">
        <v>3</v>
      </c>
      <c r="HI45">
        <f t="shared" si="61"/>
        <v>0</v>
      </c>
      <c r="HJ45">
        <f t="shared" si="62"/>
        <v>0</v>
      </c>
      <c r="HK45">
        <f t="shared" si="63"/>
        <v>0</v>
      </c>
      <c r="HL45">
        <f t="shared" si="64"/>
        <v>0</v>
      </c>
      <c r="HM45" t="s">
        <v>3</v>
      </c>
      <c r="HN45" t="s">
        <v>94</v>
      </c>
      <c r="HO45" t="s">
        <v>95</v>
      </c>
      <c r="HP45" t="s">
        <v>92</v>
      </c>
      <c r="HQ45" t="s">
        <v>92</v>
      </c>
      <c r="IK45">
        <v>0</v>
      </c>
    </row>
    <row r="46" spans="1:245" x14ac:dyDescent="0.2">
      <c r="A46">
        <v>17</v>
      </c>
      <c r="B46">
        <v>1</v>
      </c>
      <c r="E46" t="s">
        <v>107</v>
      </c>
      <c r="F46" t="s">
        <v>67</v>
      </c>
      <c r="G46" t="s">
        <v>68</v>
      </c>
      <c r="H46" t="s">
        <v>69</v>
      </c>
      <c r="I46">
        <f>ROUND(18.36*7.4/1000,7)</f>
        <v>0.13586400000000001</v>
      </c>
      <c r="J46">
        <v>0</v>
      </c>
      <c r="K46">
        <f>ROUND(18.36*7.4/1000,7)</f>
        <v>0.13586400000000001</v>
      </c>
      <c r="O46">
        <f t="shared" si="21"/>
        <v>1328</v>
      </c>
      <c r="P46">
        <f t="shared" si="22"/>
        <v>1328</v>
      </c>
      <c r="Q46">
        <f t="shared" si="23"/>
        <v>0</v>
      </c>
      <c r="R46">
        <f t="shared" si="24"/>
        <v>0</v>
      </c>
      <c r="S46">
        <f t="shared" si="25"/>
        <v>0</v>
      </c>
      <c r="T46">
        <f t="shared" si="26"/>
        <v>0</v>
      </c>
      <c r="U46">
        <f t="shared" si="27"/>
        <v>0</v>
      </c>
      <c r="V46">
        <f t="shared" si="28"/>
        <v>0</v>
      </c>
      <c r="W46">
        <f t="shared" si="29"/>
        <v>0</v>
      </c>
      <c r="X46">
        <f t="shared" si="30"/>
        <v>0</v>
      </c>
      <c r="Y46">
        <f t="shared" si="31"/>
        <v>0</v>
      </c>
      <c r="AA46">
        <v>53679809</v>
      </c>
      <c r="AB46">
        <f t="shared" si="32"/>
        <v>9771</v>
      </c>
      <c r="AC46">
        <f t="shared" si="33"/>
        <v>9771</v>
      </c>
      <c r="AD46">
        <f t="shared" si="34"/>
        <v>0</v>
      </c>
      <c r="AE46">
        <f t="shared" si="35"/>
        <v>0</v>
      </c>
      <c r="AF46">
        <f t="shared" si="36"/>
        <v>0</v>
      </c>
      <c r="AG46">
        <f t="shared" si="37"/>
        <v>0</v>
      </c>
      <c r="AH46">
        <f t="shared" si="38"/>
        <v>0</v>
      </c>
      <c r="AI46">
        <f t="shared" si="39"/>
        <v>0</v>
      </c>
      <c r="AJ46">
        <f t="shared" si="40"/>
        <v>0</v>
      </c>
      <c r="AK46">
        <v>9771.14</v>
      </c>
      <c r="AL46">
        <v>9771.14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1</v>
      </c>
      <c r="AW46">
        <v>1</v>
      </c>
      <c r="AZ46">
        <v>1</v>
      </c>
      <c r="BA46">
        <v>1</v>
      </c>
      <c r="BB46">
        <v>1</v>
      </c>
      <c r="BC46">
        <v>1</v>
      </c>
      <c r="BD46" t="s">
        <v>3</v>
      </c>
      <c r="BE46" t="s">
        <v>3</v>
      </c>
      <c r="BF46" t="s">
        <v>3</v>
      </c>
      <c r="BG46" t="s">
        <v>3</v>
      </c>
      <c r="BH46">
        <v>3</v>
      </c>
      <c r="BI46">
        <v>1</v>
      </c>
      <c r="BJ46" t="s">
        <v>70</v>
      </c>
      <c r="BM46">
        <v>500001</v>
      </c>
      <c r="BN46">
        <v>0</v>
      </c>
      <c r="BO46" t="s">
        <v>3</v>
      </c>
      <c r="BP46">
        <v>0</v>
      </c>
      <c r="BQ46">
        <v>8</v>
      </c>
      <c r="BR46">
        <v>0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Y46" t="s">
        <v>3</v>
      </c>
      <c r="BZ46">
        <v>0</v>
      </c>
      <c r="CA46">
        <v>0</v>
      </c>
      <c r="CB46" t="s">
        <v>3</v>
      </c>
      <c r="CE46">
        <v>0</v>
      </c>
      <c r="CF46">
        <v>0</v>
      </c>
      <c r="CG46">
        <v>0</v>
      </c>
      <c r="CM46">
        <v>0</v>
      </c>
      <c r="CN46" t="s">
        <v>3</v>
      </c>
      <c r="CO46">
        <v>0</v>
      </c>
      <c r="CP46">
        <f t="shared" si="41"/>
        <v>1328</v>
      </c>
      <c r="CQ46">
        <f t="shared" si="42"/>
        <v>9771</v>
      </c>
      <c r="CR46">
        <f t="shared" si="43"/>
        <v>0</v>
      </c>
      <c r="CS46">
        <f t="shared" si="44"/>
        <v>0</v>
      </c>
      <c r="CT46">
        <f t="shared" si="45"/>
        <v>0</v>
      </c>
      <c r="CU46">
        <f t="shared" si="46"/>
        <v>0</v>
      </c>
      <c r="CV46">
        <f t="shared" si="47"/>
        <v>0</v>
      </c>
      <c r="CW46">
        <f t="shared" si="48"/>
        <v>0</v>
      </c>
      <c r="CX46">
        <f t="shared" si="49"/>
        <v>0</v>
      </c>
      <c r="CY46">
        <f t="shared" si="50"/>
        <v>0</v>
      </c>
      <c r="CZ46">
        <f t="shared" si="51"/>
        <v>0</v>
      </c>
      <c r="DC46" t="s">
        <v>3</v>
      </c>
      <c r="DD46" t="s">
        <v>3</v>
      </c>
      <c r="DE46" t="s">
        <v>3</v>
      </c>
      <c r="DF46" t="s">
        <v>3</v>
      </c>
      <c r="DG46" t="s">
        <v>3</v>
      </c>
      <c r="DH46" t="s">
        <v>3</v>
      </c>
      <c r="DI46" t="s">
        <v>3</v>
      </c>
      <c r="DJ46" t="s">
        <v>3</v>
      </c>
      <c r="DK46" t="s">
        <v>3</v>
      </c>
      <c r="DL46" t="s">
        <v>3</v>
      </c>
      <c r="DM46" t="s">
        <v>3</v>
      </c>
      <c r="DN46">
        <v>0</v>
      </c>
      <c r="DO46">
        <v>0</v>
      </c>
      <c r="DP46">
        <v>1</v>
      </c>
      <c r="DQ46">
        <v>1</v>
      </c>
      <c r="DU46">
        <v>1009</v>
      </c>
      <c r="DV46" t="s">
        <v>69</v>
      </c>
      <c r="DW46" t="s">
        <v>69</v>
      </c>
      <c r="DX46">
        <v>1000</v>
      </c>
      <c r="DZ46" t="s">
        <v>3</v>
      </c>
      <c r="EA46" t="s">
        <v>3</v>
      </c>
      <c r="EB46" t="s">
        <v>3</v>
      </c>
      <c r="EC46" t="s">
        <v>3</v>
      </c>
      <c r="EE46">
        <v>53217489</v>
      </c>
      <c r="EF46">
        <v>8</v>
      </c>
      <c r="EG46" t="s">
        <v>38</v>
      </c>
      <c r="EH46">
        <v>0</v>
      </c>
      <c r="EI46" t="s">
        <v>3</v>
      </c>
      <c r="EJ46">
        <v>1</v>
      </c>
      <c r="EK46">
        <v>500001</v>
      </c>
      <c r="EL46" t="s">
        <v>39</v>
      </c>
      <c r="EM46" t="s">
        <v>40</v>
      </c>
      <c r="EO46" t="s">
        <v>3</v>
      </c>
      <c r="EQ46">
        <v>0</v>
      </c>
      <c r="ER46">
        <v>9771.14</v>
      </c>
      <c r="ES46">
        <v>9771.14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FQ46">
        <v>0</v>
      </c>
      <c r="FR46">
        <f t="shared" si="52"/>
        <v>0</v>
      </c>
      <c r="FS46">
        <v>0</v>
      </c>
      <c r="FX46">
        <v>0</v>
      </c>
      <c r="FY46">
        <v>0</v>
      </c>
      <c r="GA46" t="s">
        <v>3</v>
      </c>
      <c r="GD46">
        <v>1</v>
      </c>
      <c r="GF46">
        <v>-1082708198</v>
      </c>
      <c r="GG46">
        <v>2</v>
      </c>
      <c r="GH46">
        <v>1</v>
      </c>
      <c r="GI46">
        <v>4</v>
      </c>
      <c r="GJ46">
        <v>0</v>
      </c>
      <c r="GK46">
        <v>0</v>
      </c>
      <c r="GL46">
        <f t="shared" si="53"/>
        <v>0</v>
      </c>
      <c r="GM46">
        <f t="shared" si="54"/>
        <v>1328</v>
      </c>
      <c r="GN46">
        <f t="shared" si="55"/>
        <v>1328</v>
      </c>
      <c r="GO46">
        <f t="shared" si="56"/>
        <v>0</v>
      </c>
      <c r="GP46">
        <f t="shared" si="57"/>
        <v>0</v>
      </c>
      <c r="GR46">
        <v>0</v>
      </c>
      <c r="GS46">
        <v>3</v>
      </c>
      <c r="GT46">
        <v>0</v>
      </c>
      <c r="GU46" t="s">
        <v>3</v>
      </c>
      <c r="GV46">
        <f t="shared" si="58"/>
        <v>0</v>
      </c>
      <c r="GW46">
        <v>1</v>
      </c>
      <c r="GX46">
        <f t="shared" si="59"/>
        <v>0</v>
      </c>
      <c r="HA46">
        <v>0</v>
      </c>
      <c r="HB46">
        <v>0</v>
      </c>
      <c r="HC46">
        <f t="shared" si="60"/>
        <v>0</v>
      </c>
      <c r="HE46" t="s">
        <v>3</v>
      </c>
      <c r="HF46" t="s">
        <v>3</v>
      </c>
      <c r="HI46">
        <f t="shared" si="61"/>
        <v>0</v>
      </c>
      <c r="HJ46">
        <f t="shared" si="62"/>
        <v>0</v>
      </c>
      <c r="HK46">
        <f t="shared" si="63"/>
        <v>0</v>
      </c>
      <c r="HL46">
        <f t="shared" si="64"/>
        <v>0</v>
      </c>
      <c r="HM46" t="s">
        <v>3</v>
      </c>
      <c r="HN46" t="s">
        <v>3</v>
      </c>
      <c r="HO46" t="s">
        <v>3</v>
      </c>
      <c r="HP46" t="s">
        <v>3</v>
      </c>
      <c r="HQ46" t="s">
        <v>3</v>
      </c>
      <c r="IK46">
        <v>0</v>
      </c>
    </row>
    <row r="47" spans="1:245" x14ac:dyDescent="0.2">
      <c r="A47">
        <v>17</v>
      </c>
      <c r="B47">
        <v>1</v>
      </c>
      <c r="C47">
        <f>ROW(SmtRes!A41)</f>
        <v>41</v>
      </c>
      <c r="D47">
        <f>ROW(EtalonRes!A44)</f>
        <v>44</v>
      </c>
      <c r="E47" t="s">
        <v>108</v>
      </c>
      <c r="F47" t="s">
        <v>109</v>
      </c>
      <c r="G47" t="s">
        <v>110</v>
      </c>
      <c r="H47" t="s">
        <v>18</v>
      </c>
      <c r="I47">
        <f>ROUND(1/100,7)</f>
        <v>0.01</v>
      </c>
      <c r="J47">
        <v>0</v>
      </c>
      <c r="K47">
        <f>ROUND(1/100,7)</f>
        <v>0.01</v>
      </c>
      <c r="O47">
        <f t="shared" si="21"/>
        <v>23</v>
      </c>
      <c r="P47">
        <f t="shared" si="22"/>
        <v>16</v>
      </c>
      <c r="Q47">
        <f t="shared" si="23"/>
        <v>2</v>
      </c>
      <c r="R47">
        <f t="shared" si="24"/>
        <v>1</v>
      </c>
      <c r="S47">
        <f t="shared" si="25"/>
        <v>5</v>
      </c>
      <c r="T47">
        <f t="shared" si="26"/>
        <v>0</v>
      </c>
      <c r="U47">
        <f t="shared" si="27"/>
        <v>0.67700000000000005</v>
      </c>
      <c r="V47">
        <f t="shared" si="28"/>
        <v>4.2000000000000003E-2</v>
      </c>
      <c r="W47">
        <f t="shared" si="29"/>
        <v>0</v>
      </c>
      <c r="X47">
        <f t="shared" si="30"/>
        <v>6</v>
      </c>
      <c r="Y47">
        <f t="shared" si="31"/>
        <v>3</v>
      </c>
      <c r="AA47">
        <v>53679809</v>
      </c>
      <c r="AB47">
        <f t="shared" si="32"/>
        <v>2392</v>
      </c>
      <c r="AC47">
        <f t="shared" si="33"/>
        <v>1633</v>
      </c>
      <c r="AD47">
        <f t="shared" si="34"/>
        <v>216</v>
      </c>
      <c r="AE47">
        <f t="shared" si="35"/>
        <v>52</v>
      </c>
      <c r="AF47">
        <f t="shared" si="36"/>
        <v>543</v>
      </c>
      <c r="AG47">
        <f t="shared" si="37"/>
        <v>0</v>
      </c>
      <c r="AH47">
        <f t="shared" si="38"/>
        <v>67.7</v>
      </c>
      <c r="AI47">
        <f t="shared" si="39"/>
        <v>4.2</v>
      </c>
      <c r="AJ47">
        <f t="shared" si="40"/>
        <v>0</v>
      </c>
      <c r="AK47">
        <v>2392.69</v>
      </c>
      <c r="AL47">
        <v>1633.36</v>
      </c>
      <c r="AM47">
        <v>216.38</v>
      </c>
      <c r="AN47">
        <v>52.01</v>
      </c>
      <c r="AO47">
        <v>542.95000000000005</v>
      </c>
      <c r="AP47">
        <v>0</v>
      </c>
      <c r="AQ47">
        <v>67.7</v>
      </c>
      <c r="AR47">
        <v>4.2</v>
      </c>
      <c r="AS47">
        <v>0</v>
      </c>
      <c r="AT47">
        <v>108</v>
      </c>
      <c r="AU47">
        <v>55</v>
      </c>
      <c r="AV47">
        <v>1</v>
      </c>
      <c r="AW47">
        <v>1</v>
      </c>
      <c r="AZ47">
        <v>1</v>
      </c>
      <c r="BA47">
        <v>32.909999999999997</v>
      </c>
      <c r="BB47">
        <v>1</v>
      </c>
      <c r="BC47">
        <v>1</v>
      </c>
      <c r="BD47" t="s">
        <v>3</v>
      </c>
      <c r="BE47" t="s">
        <v>3</v>
      </c>
      <c r="BF47" t="s">
        <v>3</v>
      </c>
      <c r="BG47" t="s">
        <v>3</v>
      </c>
      <c r="BH47">
        <v>0</v>
      </c>
      <c r="BI47">
        <v>1</v>
      </c>
      <c r="BJ47" t="s">
        <v>111</v>
      </c>
      <c r="BM47">
        <v>10001</v>
      </c>
      <c r="BN47">
        <v>0</v>
      </c>
      <c r="BO47" t="s">
        <v>3</v>
      </c>
      <c r="BP47">
        <v>0</v>
      </c>
      <c r="BQ47">
        <v>2</v>
      </c>
      <c r="BR47">
        <v>0</v>
      </c>
      <c r="BS47">
        <v>32.909999999999997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108</v>
      </c>
      <c r="CA47">
        <v>55</v>
      </c>
      <c r="CB47" t="s">
        <v>3</v>
      </c>
      <c r="CE47">
        <v>0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41"/>
        <v>23</v>
      </c>
      <c r="CQ47">
        <f t="shared" si="42"/>
        <v>1633</v>
      </c>
      <c r="CR47">
        <f t="shared" si="43"/>
        <v>216</v>
      </c>
      <c r="CS47">
        <f t="shared" si="44"/>
        <v>52</v>
      </c>
      <c r="CT47">
        <f t="shared" si="45"/>
        <v>543</v>
      </c>
      <c r="CU47">
        <f t="shared" si="46"/>
        <v>0</v>
      </c>
      <c r="CV47">
        <f t="shared" si="47"/>
        <v>67.7</v>
      </c>
      <c r="CW47">
        <f t="shared" si="48"/>
        <v>4.2</v>
      </c>
      <c r="CX47">
        <f t="shared" si="49"/>
        <v>0</v>
      </c>
      <c r="CY47">
        <f t="shared" si="50"/>
        <v>6.48</v>
      </c>
      <c r="CZ47">
        <f t="shared" si="51"/>
        <v>3.3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DU47">
        <v>1013</v>
      </c>
      <c r="DV47" t="s">
        <v>18</v>
      </c>
      <c r="DW47" t="s">
        <v>18</v>
      </c>
      <c r="DX47">
        <v>1</v>
      </c>
      <c r="DZ47" t="s">
        <v>3</v>
      </c>
      <c r="EA47" t="s">
        <v>3</v>
      </c>
      <c r="EB47" t="s">
        <v>3</v>
      </c>
      <c r="EC47" t="s">
        <v>3</v>
      </c>
      <c r="EE47">
        <v>53217557</v>
      </c>
      <c r="EF47">
        <v>2</v>
      </c>
      <c r="EG47" t="s">
        <v>20</v>
      </c>
      <c r="EH47">
        <v>10</v>
      </c>
      <c r="EI47" t="s">
        <v>50</v>
      </c>
      <c r="EJ47">
        <v>1</v>
      </c>
      <c r="EK47">
        <v>10001</v>
      </c>
      <c r="EL47" t="s">
        <v>50</v>
      </c>
      <c r="EM47" t="s">
        <v>51</v>
      </c>
      <c r="EO47" t="s">
        <v>3</v>
      </c>
      <c r="EQ47">
        <v>0</v>
      </c>
      <c r="ER47">
        <v>2392.69</v>
      </c>
      <c r="ES47">
        <v>1633.36</v>
      </c>
      <c r="ET47">
        <v>216.38</v>
      </c>
      <c r="EU47">
        <v>52.01</v>
      </c>
      <c r="EV47">
        <v>542.95000000000005</v>
      </c>
      <c r="EW47">
        <v>67.7</v>
      </c>
      <c r="EX47">
        <v>4.2</v>
      </c>
      <c r="EY47">
        <v>0</v>
      </c>
      <c r="FQ47">
        <v>0</v>
      </c>
      <c r="FR47">
        <f t="shared" si="52"/>
        <v>0</v>
      </c>
      <c r="FS47">
        <v>0</v>
      </c>
      <c r="FX47">
        <v>108</v>
      </c>
      <c r="FY47">
        <v>55</v>
      </c>
      <c r="GA47" t="s">
        <v>3</v>
      </c>
      <c r="GD47">
        <v>1</v>
      </c>
      <c r="GF47">
        <v>-1048284586</v>
      </c>
      <c r="GG47">
        <v>2</v>
      </c>
      <c r="GH47">
        <v>1</v>
      </c>
      <c r="GI47">
        <v>4</v>
      </c>
      <c r="GJ47">
        <v>0</v>
      </c>
      <c r="GK47">
        <v>0</v>
      </c>
      <c r="GL47">
        <f t="shared" si="53"/>
        <v>0</v>
      </c>
      <c r="GM47">
        <f t="shared" si="54"/>
        <v>32</v>
      </c>
      <c r="GN47">
        <f t="shared" si="55"/>
        <v>32</v>
      </c>
      <c r="GO47">
        <f t="shared" si="56"/>
        <v>0</v>
      </c>
      <c r="GP47">
        <f t="shared" si="57"/>
        <v>0</v>
      </c>
      <c r="GR47">
        <v>0</v>
      </c>
      <c r="GS47">
        <v>3</v>
      </c>
      <c r="GT47">
        <v>0</v>
      </c>
      <c r="GU47" t="s">
        <v>3</v>
      </c>
      <c r="GV47">
        <f t="shared" si="58"/>
        <v>0</v>
      </c>
      <c r="GW47">
        <v>1</v>
      </c>
      <c r="GX47">
        <f t="shared" si="59"/>
        <v>0</v>
      </c>
      <c r="HA47">
        <v>0</v>
      </c>
      <c r="HB47">
        <v>0</v>
      </c>
      <c r="HC47">
        <f t="shared" si="60"/>
        <v>0</v>
      </c>
      <c r="HE47" t="s">
        <v>3</v>
      </c>
      <c r="HF47" t="s">
        <v>3</v>
      </c>
      <c r="HI47">
        <f t="shared" si="61"/>
        <v>33</v>
      </c>
      <c r="HJ47">
        <f t="shared" si="62"/>
        <v>165</v>
      </c>
      <c r="HK47">
        <f t="shared" si="63"/>
        <v>214</v>
      </c>
      <c r="HL47">
        <f t="shared" si="64"/>
        <v>109</v>
      </c>
      <c r="HM47" t="s">
        <v>3</v>
      </c>
      <c r="HN47" t="s">
        <v>52</v>
      </c>
      <c r="HO47" t="s">
        <v>53</v>
      </c>
      <c r="HP47" t="s">
        <v>50</v>
      </c>
      <c r="HQ47" t="s">
        <v>50</v>
      </c>
      <c r="IK47">
        <v>0</v>
      </c>
    </row>
    <row r="48" spans="1:245" x14ac:dyDescent="0.2">
      <c r="A48">
        <v>18</v>
      </c>
      <c r="B48">
        <v>1</v>
      </c>
      <c r="C48">
        <v>40</v>
      </c>
      <c r="E48" t="s">
        <v>112</v>
      </c>
      <c r="F48" t="s">
        <v>113</v>
      </c>
      <c r="G48" t="s">
        <v>114</v>
      </c>
      <c r="H48" t="s">
        <v>32</v>
      </c>
      <c r="I48">
        <f>I47*J48</f>
        <v>1</v>
      </c>
      <c r="J48">
        <v>100</v>
      </c>
      <c r="K48">
        <v>100</v>
      </c>
      <c r="O48">
        <f t="shared" si="21"/>
        <v>0</v>
      </c>
      <c r="P48">
        <f t="shared" si="22"/>
        <v>0</v>
      </c>
      <c r="Q48">
        <f t="shared" si="23"/>
        <v>0</v>
      </c>
      <c r="R48">
        <f t="shared" si="24"/>
        <v>0</v>
      </c>
      <c r="S48">
        <f t="shared" si="25"/>
        <v>0</v>
      </c>
      <c r="T48">
        <f t="shared" si="26"/>
        <v>0</v>
      </c>
      <c r="U48">
        <f t="shared" si="27"/>
        <v>0</v>
      </c>
      <c r="V48">
        <f t="shared" si="28"/>
        <v>0</v>
      </c>
      <c r="W48">
        <f t="shared" si="29"/>
        <v>0</v>
      </c>
      <c r="X48">
        <f t="shared" si="30"/>
        <v>0</v>
      </c>
      <c r="Y48">
        <f t="shared" si="31"/>
        <v>0</v>
      </c>
      <c r="AA48">
        <v>53679809</v>
      </c>
      <c r="AB48">
        <f t="shared" si="32"/>
        <v>0</v>
      </c>
      <c r="AC48">
        <f t="shared" si="33"/>
        <v>0</v>
      </c>
      <c r="AD48">
        <f t="shared" si="34"/>
        <v>0</v>
      </c>
      <c r="AE48">
        <f t="shared" si="35"/>
        <v>0</v>
      </c>
      <c r="AF48">
        <f t="shared" si="36"/>
        <v>0</v>
      </c>
      <c r="AG48">
        <f t="shared" si="37"/>
        <v>0</v>
      </c>
      <c r="AH48">
        <f t="shared" si="38"/>
        <v>0</v>
      </c>
      <c r="AI48">
        <f t="shared" si="39"/>
        <v>0</v>
      </c>
      <c r="AJ48">
        <f t="shared" si="40"/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108</v>
      </c>
      <c r="AU48">
        <v>55</v>
      </c>
      <c r="AV48">
        <v>1</v>
      </c>
      <c r="AW48">
        <v>1</v>
      </c>
      <c r="AZ48">
        <v>1</v>
      </c>
      <c r="BA48">
        <v>1</v>
      </c>
      <c r="BB48">
        <v>1</v>
      </c>
      <c r="BC48">
        <v>1</v>
      </c>
      <c r="BD48" t="s">
        <v>3</v>
      </c>
      <c r="BE48" t="s">
        <v>3</v>
      </c>
      <c r="BF48" t="s">
        <v>3</v>
      </c>
      <c r="BG48" t="s">
        <v>3</v>
      </c>
      <c r="BH48">
        <v>3</v>
      </c>
      <c r="BI48">
        <v>1</v>
      </c>
      <c r="BJ48" t="s">
        <v>3</v>
      </c>
      <c r="BM48">
        <v>10001</v>
      </c>
      <c r="BN48">
        <v>0</v>
      </c>
      <c r="BO48" t="s">
        <v>3</v>
      </c>
      <c r="BP48">
        <v>0</v>
      </c>
      <c r="BQ48">
        <v>2</v>
      </c>
      <c r="BR48">
        <v>0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 t="s">
        <v>3</v>
      </c>
      <c r="BZ48">
        <v>108</v>
      </c>
      <c r="CA48">
        <v>55</v>
      </c>
      <c r="CB48" t="s">
        <v>3</v>
      </c>
      <c r="CE48">
        <v>0</v>
      </c>
      <c r="CF48">
        <v>0</v>
      </c>
      <c r="CG48">
        <v>0</v>
      </c>
      <c r="CM48">
        <v>0</v>
      </c>
      <c r="CN48" t="s">
        <v>3</v>
      </c>
      <c r="CO48">
        <v>0</v>
      </c>
      <c r="CP48">
        <f t="shared" si="41"/>
        <v>0</v>
      </c>
      <c r="CQ48">
        <f t="shared" si="42"/>
        <v>0</v>
      </c>
      <c r="CR48">
        <f t="shared" si="43"/>
        <v>0</v>
      </c>
      <c r="CS48">
        <f t="shared" si="44"/>
        <v>0</v>
      </c>
      <c r="CT48">
        <f t="shared" si="45"/>
        <v>0</v>
      </c>
      <c r="CU48">
        <f t="shared" si="46"/>
        <v>0</v>
      </c>
      <c r="CV48">
        <f t="shared" si="47"/>
        <v>0</v>
      </c>
      <c r="CW48">
        <f t="shared" si="48"/>
        <v>0</v>
      </c>
      <c r="CX48">
        <f t="shared" si="49"/>
        <v>0</v>
      </c>
      <c r="CY48">
        <f t="shared" si="50"/>
        <v>0</v>
      </c>
      <c r="CZ48">
        <f t="shared" si="51"/>
        <v>0</v>
      </c>
      <c r="DC48" t="s">
        <v>3</v>
      </c>
      <c r="DD48" t="s">
        <v>3</v>
      </c>
      <c r="DE48" t="s">
        <v>3</v>
      </c>
      <c r="DF48" t="s">
        <v>3</v>
      </c>
      <c r="DG48" t="s">
        <v>3</v>
      </c>
      <c r="DH48" t="s">
        <v>3</v>
      </c>
      <c r="DI48" t="s">
        <v>3</v>
      </c>
      <c r="DJ48" t="s">
        <v>3</v>
      </c>
      <c r="DK48" t="s">
        <v>3</v>
      </c>
      <c r="DL48" t="s">
        <v>3</v>
      </c>
      <c r="DM48" t="s">
        <v>3</v>
      </c>
      <c r="DN48">
        <v>0</v>
      </c>
      <c r="DO48">
        <v>0</v>
      </c>
      <c r="DP48">
        <v>1</v>
      </c>
      <c r="DQ48">
        <v>1</v>
      </c>
      <c r="DU48">
        <v>1013</v>
      </c>
      <c r="DV48" t="s">
        <v>32</v>
      </c>
      <c r="DW48" t="s">
        <v>32</v>
      </c>
      <c r="DX48">
        <v>1</v>
      </c>
      <c r="DZ48" t="s">
        <v>3</v>
      </c>
      <c r="EA48" t="s">
        <v>3</v>
      </c>
      <c r="EB48" t="s">
        <v>3</v>
      </c>
      <c r="EC48" t="s">
        <v>3</v>
      </c>
      <c r="EE48">
        <v>53217557</v>
      </c>
      <c r="EF48">
        <v>2</v>
      </c>
      <c r="EG48" t="s">
        <v>20</v>
      </c>
      <c r="EH48">
        <v>10</v>
      </c>
      <c r="EI48" t="s">
        <v>50</v>
      </c>
      <c r="EJ48">
        <v>1</v>
      </c>
      <c r="EK48">
        <v>10001</v>
      </c>
      <c r="EL48" t="s">
        <v>50</v>
      </c>
      <c r="EM48" t="s">
        <v>51</v>
      </c>
      <c r="EO48" t="s">
        <v>3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FQ48">
        <v>0</v>
      </c>
      <c r="FR48">
        <f t="shared" si="52"/>
        <v>0</v>
      </c>
      <c r="FS48">
        <v>0</v>
      </c>
      <c r="FX48">
        <v>108</v>
      </c>
      <c r="FY48">
        <v>55</v>
      </c>
      <c r="GA48" t="s">
        <v>3</v>
      </c>
      <c r="GD48">
        <v>1</v>
      </c>
      <c r="GF48">
        <v>-568011005</v>
      </c>
      <c r="GG48">
        <v>2</v>
      </c>
      <c r="GH48">
        <v>1</v>
      </c>
      <c r="GI48">
        <v>4</v>
      </c>
      <c r="GJ48">
        <v>0</v>
      </c>
      <c r="GK48">
        <v>0</v>
      </c>
      <c r="GL48">
        <f t="shared" si="53"/>
        <v>0</v>
      </c>
      <c r="GM48">
        <f t="shared" si="54"/>
        <v>0</v>
      </c>
      <c r="GN48">
        <f t="shared" si="55"/>
        <v>0</v>
      </c>
      <c r="GO48">
        <f t="shared" si="56"/>
        <v>0</v>
      </c>
      <c r="GP48">
        <f t="shared" si="57"/>
        <v>0</v>
      </c>
      <c r="GR48">
        <v>0</v>
      </c>
      <c r="GS48">
        <v>3</v>
      </c>
      <c r="GT48">
        <v>0</v>
      </c>
      <c r="GU48" t="s">
        <v>3</v>
      </c>
      <c r="GV48">
        <f t="shared" si="58"/>
        <v>0</v>
      </c>
      <c r="GW48">
        <v>1</v>
      </c>
      <c r="GX48">
        <f t="shared" si="59"/>
        <v>0</v>
      </c>
      <c r="HA48">
        <v>0</v>
      </c>
      <c r="HB48">
        <v>0</v>
      </c>
      <c r="HC48">
        <f t="shared" si="60"/>
        <v>0</v>
      </c>
      <c r="HE48" t="s">
        <v>3</v>
      </c>
      <c r="HF48" t="s">
        <v>3</v>
      </c>
      <c r="HI48">
        <f t="shared" si="61"/>
        <v>0</v>
      </c>
      <c r="HJ48">
        <f t="shared" si="62"/>
        <v>0</v>
      </c>
      <c r="HK48">
        <f t="shared" si="63"/>
        <v>0</v>
      </c>
      <c r="HL48">
        <f t="shared" si="64"/>
        <v>0</v>
      </c>
      <c r="HM48" t="s">
        <v>3</v>
      </c>
      <c r="HN48" t="s">
        <v>52</v>
      </c>
      <c r="HO48" t="s">
        <v>53</v>
      </c>
      <c r="HP48" t="s">
        <v>50</v>
      </c>
      <c r="HQ48" t="s">
        <v>50</v>
      </c>
      <c r="IK48">
        <v>0</v>
      </c>
    </row>
    <row r="49" spans="1:245" x14ac:dyDescent="0.2">
      <c r="A49">
        <v>17</v>
      </c>
      <c r="B49">
        <v>1</v>
      </c>
      <c r="E49" t="s">
        <v>115</v>
      </c>
      <c r="F49" t="s">
        <v>116</v>
      </c>
      <c r="G49" t="s">
        <v>117</v>
      </c>
      <c r="H49" t="s">
        <v>32</v>
      </c>
      <c r="I49">
        <v>1</v>
      </c>
      <c r="J49">
        <v>0</v>
      </c>
      <c r="K49">
        <v>1</v>
      </c>
      <c r="O49">
        <f t="shared" si="21"/>
        <v>4940</v>
      </c>
      <c r="P49">
        <f t="shared" si="22"/>
        <v>4940</v>
      </c>
      <c r="Q49">
        <f t="shared" si="23"/>
        <v>0</v>
      </c>
      <c r="R49">
        <f t="shared" si="24"/>
        <v>0</v>
      </c>
      <c r="S49">
        <f t="shared" si="25"/>
        <v>0</v>
      </c>
      <c r="T49">
        <f t="shared" si="26"/>
        <v>0</v>
      </c>
      <c r="U49">
        <f t="shared" si="27"/>
        <v>0</v>
      </c>
      <c r="V49">
        <f t="shared" si="28"/>
        <v>0</v>
      </c>
      <c r="W49">
        <f t="shared" si="29"/>
        <v>0</v>
      </c>
      <c r="X49">
        <f t="shared" si="30"/>
        <v>0</v>
      </c>
      <c r="Y49">
        <f t="shared" si="31"/>
        <v>0</v>
      </c>
      <c r="AA49">
        <v>53679809</v>
      </c>
      <c r="AB49">
        <f t="shared" si="32"/>
        <v>4940</v>
      </c>
      <c r="AC49">
        <f t="shared" si="33"/>
        <v>4940</v>
      </c>
      <c r="AD49">
        <f t="shared" si="34"/>
        <v>0</v>
      </c>
      <c r="AE49">
        <f t="shared" si="35"/>
        <v>0</v>
      </c>
      <c r="AF49">
        <f t="shared" si="36"/>
        <v>0</v>
      </c>
      <c r="AG49">
        <f t="shared" si="37"/>
        <v>0</v>
      </c>
      <c r="AH49">
        <f t="shared" si="38"/>
        <v>0</v>
      </c>
      <c r="AI49">
        <f t="shared" si="39"/>
        <v>0</v>
      </c>
      <c r="AJ49">
        <f t="shared" si="40"/>
        <v>0</v>
      </c>
      <c r="AK49">
        <v>4939.79</v>
      </c>
      <c r="AL49">
        <v>4939.79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1</v>
      </c>
      <c r="AW49">
        <v>1</v>
      </c>
      <c r="AZ49">
        <v>1</v>
      </c>
      <c r="BA49">
        <v>1</v>
      </c>
      <c r="BB49">
        <v>1</v>
      </c>
      <c r="BC49">
        <v>1</v>
      </c>
      <c r="BD49" t="s">
        <v>3</v>
      </c>
      <c r="BE49" t="s">
        <v>3</v>
      </c>
      <c r="BF49" t="s">
        <v>3</v>
      </c>
      <c r="BG49" t="s">
        <v>3</v>
      </c>
      <c r="BH49">
        <v>3</v>
      </c>
      <c r="BI49">
        <v>1</v>
      </c>
      <c r="BJ49" t="s">
        <v>118</v>
      </c>
      <c r="BM49">
        <v>500001</v>
      </c>
      <c r="BN49">
        <v>0</v>
      </c>
      <c r="BO49" t="s">
        <v>3</v>
      </c>
      <c r="BP49">
        <v>0</v>
      </c>
      <c r="BQ49">
        <v>8</v>
      </c>
      <c r="BR49">
        <v>0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</v>
      </c>
      <c r="BZ49">
        <v>0</v>
      </c>
      <c r="CA49">
        <v>0</v>
      </c>
      <c r="CB49" t="s">
        <v>3</v>
      </c>
      <c r="CE49">
        <v>0</v>
      </c>
      <c r="CF49">
        <v>0</v>
      </c>
      <c r="CG49">
        <v>0</v>
      </c>
      <c r="CM49">
        <v>0</v>
      </c>
      <c r="CN49" t="s">
        <v>3</v>
      </c>
      <c r="CO49">
        <v>0</v>
      </c>
      <c r="CP49">
        <f t="shared" si="41"/>
        <v>4940</v>
      </c>
      <c r="CQ49">
        <f t="shared" si="42"/>
        <v>4940</v>
      </c>
      <c r="CR49">
        <f t="shared" si="43"/>
        <v>0</v>
      </c>
      <c r="CS49">
        <f t="shared" si="44"/>
        <v>0</v>
      </c>
      <c r="CT49">
        <f t="shared" si="45"/>
        <v>0</v>
      </c>
      <c r="CU49">
        <f t="shared" si="46"/>
        <v>0</v>
      </c>
      <c r="CV49">
        <f t="shared" si="47"/>
        <v>0</v>
      </c>
      <c r="CW49">
        <f t="shared" si="48"/>
        <v>0</v>
      </c>
      <c r="CX49">
        <f t="shared" si="49"/>
        <v>0</v>
      </c>
      <c r="CY49">
        <f t="shared" si="50"/>
        <v>0</v>
      </c>
      <c r="CZ49">
        <f t="shared" si="51"/>
        <v>0</v>
      </c>
      <c r="DC49" t="s">
        <v>3</v>
      </c>
      <c r="DD49" t="s">
        <v>3</v>
      </c>
      <c r="DE49" t="s">
        <v>3</v>
      </c>
      <c r="DF49" t="s">
        <v>3</v>
      </c>
      <c r="DG49" t="s">
        <v>3</v>
      </c>
      <c r="DH49" t="s">
        <v>3</v>
      </c>
      <c r="DI49" t="s">
        <v>3</v>
      </c>
      <c r="DJ49" t="s">
        <v>3</v>
      </c>
      <c r="DK49" t="s">
        <v>3</v>
      </c>
      <c r="DL49" t="s">
        <v>3</v>
      </c>
      <c r="DM49" t="s">
        <v>3</v>
      </c>
      <c r="DN49">
        <v>0</v>
      </c>
      <c r="DO49">
        <v>0</v>
      </c>
      <c r="DP49">
        <v>1</v>
      </c>
      <c r="DQ49">
        <v>1</v>
      </c>
      <c r="DU49">
        <v>1013</v>
      </c>
      <c r="DV49" t="s">
        <v>32</v>
      </c>
      <c r="DW49" t="s">
        <v>32</v>
      </c>
      <c r="DX49">
        <v>1</v>
      </c>
      <c r="DZ49" t="s">
        <v>3</v>
      </c>
      <c r="EA49" t="s">
        <v>3</v>
      </c>
      <c r="EB49" t="s">
        <v>3</v>
      </c>
      <c r="EC49" t="s">
        <v>3</v>
      </c>
      <c r="EE49">
        <v>53217489</v>
      </c>
      <c r="EF49">
        <v>8</v>
      </c>
      <c r="EG49" t="s">
        <v>38</v>
      </c>
      <c r="EH49">
        <v>0</v>
      </c>
      <c r="EI49" t="s">
        <v>3</v>
      </c>
      <c r="EJ49">
        <v>1</v>
      </c>
      <c r="EK49">
        <v>500001</v>
      </c>
      <c r="EL49" t="s">
        <v>39</v>
      </c>
      <c r="EM49" t="s">
        <v>40</v>
      </c>
      <c r="EO49" t="s">
        <v>3</v>
      </c>
      <c r="EQ49">
        <v>0</v>
      </c>
      <c r="ER49">
        <v>4939.79</v>
      </c>
      <c r="ES49">
        <v>4939.79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FQ49">
        <v>0</v>
      </c>
      <c r="FR49">
        <f t="shared" si="52"/>
        <v>0</v>
      </c>
      <c r="FS49">
        <v>0</v>
      </c>
      <c r="FX49">
        <v>0</v>
      </c>
      <c r="FY49">
        <v>0</v>
      </c>
      <c r="GA49" t="s">
        <v>3</v>
      </c>
      <c r="GD49">
        <v>1</v>
      </c>
      <c r="GF49">
        <v>1086250531</v>
      </c>
      <c r="GG49">
        <v>2</v>
      </c>
      <c r="GH49">
        <v>1</v>
      </c>
      <c r="GI49">
        <v>4</v>
      </c>
      <c r="GJ49">
        <v>0</v>
      </c>
      <c r="GK49">
        <v>0</v>
      </c>
      <c r="GL49">
        <f t="shared" si="53"/>
        <v>0</v>
      </c>
      <c r="GM49">
        <f t="shared" si="54"/>
        <v>4940</v>
      </c>
      <c r="GN49">
        <f t="shared" si="55"/>
        <v>4940</v>
      </c>
      <c r="GO49">
        <f t="shared" si="56"/>
        <v>0</v>
      </c>
      <c r="GP49">
        <f t="shared" si="57"/>
        <v>0</v>
      </c>
      <c r="GR49">
        <v>0</v>
      </c>
      <c r="GS49">
        <v>3</v>
      </c>
      <c r="GT49">
        <v>0</v>
      </c>
      <c r="GU49" t="s">
        <v>3</v>
      </c>
      <c r="GV49">
        <f t="shared" si="58"/>
        <v>0</v>
      </c>
      <c r="GW49">
        <v>1</v>
      </c>
      <c r="GX49">
        <f t="shared" si="59"/>
        <v>0</v>
      </c>
      <c r="HA49">
        <v>0</v>
      </c>
      <c r="HB49">
        <v>0</v>
      </c>
      <c r="HC49">
        <f t="shared" si="60"/>
        <v>0</v>
      </c>
      <c r="HE49" t="s">
        <v>3</v>
      </c>
      <c r="HF49" t="s">
        <v>3</v>
      </c>
      <c r="HI49">
        <f t="shared" si="61"/>
        <v>0</v>
      </c>
      <c r="HJ49">
        <f t="shared" si="62"/>
        <v>0</v>
      </c>
      <c r="HK49">
        <f t="shared" si="63"/>
        <v>0</v>
      </c>
      <c r="HL49">
        <f t="shared" si="64"/>
        <v>0</v>
      </c>
      <c r="HM49" t="s">
        <v>3</v>
      </c>
      <c r="HN49" t="s">
        <v>3</v>
      </c>
      <c r="HO49" t="s">
        <v>3</v>
      </c>
      <c r="HP49" t="s">
        <v>3</v>
      </c>
      <c r="HQ49" t="s">
        <v>3</v>
      </c>
      <c r="IK49">
        <v>0</v>
      </c>
    </row>
    <row r="51" spans="1:245" x14ac:dyDescent="0.2">
      <c r="A51" s="2">
        <v>51</v>
      </c>
      <c r="B51" s="2">
        <f>B24</f>
        <v>1</v>
      </c>
      <c r="C51" s="2">
        <f>A24</f>
        <v>4</v>
      </c>
      <c r="D51" s="2">
        <f>ROW(A24)</f>
        <v>24</v>
      </c>
      <c r="E51" s="2"/>
      <c r="F51" s="2" t="str">
        <f>IF(F24&lt;&gt;"",F24,"")</f>
        <v>Новый раздел</v>
      </c>
      <c r="G51" s="2" t="str">
        <f>IF(G24&lt;&gt;"",G24,"")</f>
        <v>Беседка</v>
      </c>
      <c r="H51" s="2">
        <v>0</v>
      </c>
      <c r="I51" s="2"/>
      <c r="J51" s="2"/>
      <c r="K51" s="2"/>
      <c r="L51" s="2"/>
      <c r="M51" s="2"/>
      <c r="N51" s="2"/>
      <c r="O51" s="2">
        <f t="shared" ref="O51:T51" si="65">ROUND(AB51,0)</f>
        <v>13005</v>
      </c>
      <c r="P51" s="2">
        <f t="shared" si="65"/>
        <v>10850</v>
      </c>
      <c r="Q51" s="2">
        <f t="shared" si="65"/>
        <v>1540</v>
      </c>
      <c r="R51" s="2">
        <f t="shared" si="65"/>
        <v>86</v>
      </c>
      <c r="S51" s="2">
        <f t="shared" si="65"/>
        <v>615</v>
      </c>
      <c r="T51" s="2">
        <f t="shared" si="65"/>
        <v>0</v>
      </c>
      <c r="U51" s="2">
        <f>AH51</f>
        <v>68.476216000000008</v>
      </c>
      <c r="V51" s="2">
        <f>AI51</f>
        <v>5.7678919999999998</v>
      </c>
      <c r="W51" s="2">
        <f>ROUND(AJ51,0)</f>
        <v>0</v>
      </c>
      <c r="X51" s="2">
        <f>ROUND(AK51,0)</f>
        <v>728</v>
      </c>
      <c r="Y51" s="2">
        <f>ROUND(AL51,0)</f>
        <v>400</v>
      </c>
      <c r="Z51" s="2"/>
      <c r="AA51" s="2"/>
      <c r="AB51" s="2">
        <f>ROUND(SUMIF(AA28:AA49,"=53679809",O28:O49),0)</f>
        <v>13005</v>
      </c>
      <c r="AC51" s="2">
        <f>ROUND(SUMIF(AA28:AA49,"=53679809",P28:P49),0)</f>
        <v>10850</v>
      </c>
      <c r="AD51" s="2">
        <f>ROUND(SUMIF(AA28:AA49,"=53679809",Q28:Q49),0)</f>
        <v>1540</v>
      </c>
      <c r="AE51" s="2">
        <f>ROUND(SUMIF(AA28:AA49,"=53679809",R28:R49),0)</f>
        <v>86</v>
      </c>
      <c r="AF51" s="2">
        <f>ROUND(SUMIF(AA28:AA49,"=53679809",S28:S49),0)</f>
        <v>615</v>
      </c>
      <c r="AG51" s="2">
        <f>ROUND(SUMIF(AA28:AA49,"=53679809",T28:T49),0)</f>
        <v>0</v>
      </c>
      <c r="AH51" s="2">
        <f>SUMIF(AA28:AA49,"=53679809",U28:U49)</f>
        <v>68.476216000000008</v>
      </c>
      <c r="AI51" s="2">
        <f>SUMIF(AA28:AA49,"=53679809",V28:V49)</f>
        <v>5.7678919999999998</v>
      </c>
      <c r="AJ51" s="2">
        <f>ROUND(SUMIF(AA28:AA49,"=53679809",W28:W49),0)</f>
        <v>0</v>
      </c>
      <c r="AK51" s="2">
        <f>ROUND(SUMIF(AA28:AA49,"=53679809",X28:X49),0)</f>
        <v>728</v>
      </c>
      <c r="AL51" s="2">
        <f>ROUND(SUMIF(AA28:AA49,"=53679809",Y28:Y49),0)</f>
        <v>400</v>
      </c>
      <c r="AM51" s="2"/>
      <c r="AN51" s="2"/>
      <c r="AO51" s="2">
        <f t="shared" ref="AO51:BD51" si="66">ROUND(BX51,0)</f>
        <v>0</v>
      </c>
      <c r="AP51" s="2">
        <f t="shared" si="66"/>
        <v>0</v>
      </c>
      <c r="AQ51" s="2">
        <f t="shared" si="66"/>
        <v>0</v>
      </c>
      <c r="AR51" s="2">
        <f t="shared" si="66"/>
        <v>14133</v>
      </c>
      <c r="AS51" s="2">
        <f t="shared" si="66"/>
        <v>14133</v>
      </c>
      <c r="AT51" s="2">
        <f t="shared" si="66"/>
        <v>0</v>
      </c>
      <c r="AU51" s="2">
        <f t="shared" si="66"/>
        <v>0</v>
      </c>
      <c r="AV51" s="2">
        <f t="shared" si="66"/>
        <v>10850</v>
      </c>
      <c r="AW51" s="2">
        <f t="shared" si="66"/>
        <v>10850</v>
      </c>
      <c r="AX51" s="2">
        <f t="shared" si="66"/>
        <v>0</v>
      </c>
      <c r="AY51" s="2">
        <f t="shared" si="66"/>
        <v>10850</v>
      </c>
      <c r="AZ51" s="2">
        <f t="shared" si="66"/>
        <v>0</v>
      </c>
      <c r="BA51" s="2">
        <f t="shared" si="66"/>
        <v>0</v>
      </c>
      <c r="BB51" s="2">
        <f t="shared" si="66"/>
        <v>0</v>
      </c>
      <c r="BC51" s="2">
        <f t="shared" si="66"/>
        <v>0</v>
      </c>
      <c r="BD51" s="2">
        <f t="shared" si="66"/>
        <v>0</v>
      </c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>
        <f>ROUND(SUMIF(AA28:AA49,"=53679809",FQ28:FQ49),0)</f>
        <v>0</v>
      </c>
      <c r="BY51" s="2">
        <f>ROUND(SUMIF(AA28:AA49,"=53679809",FR28:FR49),0)</f>
        <v>0</v>
      </c>
      <c r="BZ51" s="2">
        <f>ROUND(SUMIF(AA28:AA49,"=53679809",GL28:GL49),0)</f>
        <v>0</v>
      </c>
      <c r="CA51" s="2">
        <f>ROUND(SUMIF(AA28:AA49,"=53679809",GM28:GM49),0)</f>
        <v>14133</v>
      </c>
      <c r="CB51" s="2">
        <f>ROUND(SUMIF(AA28:AA49,"=53679809",GN28:GN49),0)</f>
        <v>14133</v>
      </c>
      <c r="CC51" s="2">
        <f>ROUND(SUMIF(AA28:AA49,"=53679809",GO28:GO49),0)</f>
        <v>0</v>
      </c>
      <c r="CD51" s="2">
        <f>ROUND(SUMIF(AA28:AA49,"=53679809",GP28:GP49),0)</f>
        <v>0</v>
      </c>
      <c r="CE51" s="2">
        <f>AC51-BX51</f>
        <v>10850</v>
      </c>
      <c r="CF51" s="2">
        <f>AC51-BY51</f>
        <v>10850</v>
      </c>
      <c r="CG51" s="2">
        <f>BX51-BZ51</f>
        <v>0</v>
      </c>
      <c r="CH51" s="2">
        <f>AC51-BX51-BY51+BZ51</f>
        <v>10850</v>
      </c>
      <c r="CI51" s="2">
        <f>BY51-BZ51</f>
        <v>0</v>
      </c>
      <c r="CJ51" s="2">
        <f>ROUND(SUMIF(AA28:AA49,"=53679809",GX28:GX49),0)</f>
        <v>0</v>
      </c>
      <c r="CK51" s="2">
        <f>ROUND(SUMIF(AA28:AA49,"=53679809",GY28:GY49),0)</f>
        <v>0</v>
      </c>
      <c r="CL51" s="2">
        <f>ROUND(SUMIF(AA28:AA49,"=53679809",GZ28:GZ49),0)</f>
        <v>0</v>
      </c>
      <c r="CM51" s="2">
        <f>ROUND(SUMIF(AA28:AA49,"=53679809",HD28:HD49),0)</f>
        <v>0</v>
      </c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>
        <v>0</v>
      </c>
    </row>
    <row r="53" spans="1:245" x14ac:dyDescent="0.2">
      <c r="A53" s="4">
        <v>50</v>
      </c>
      <c r="B53" s="4">
        <v>0</v>
      </c>
      <c r="C53" s="4">
        <v>0</v>
      </c>
      <c r="D53" s="4">
        <v>1</v>
      </c>
      <c r="E53" s="4">
        <v>201</v>
      </c>
      <c r="F53" s="4">
        <f>ROUND(Source!O51,O53)</f>
        <v>13005</v>
      </c>
      <c r="G53" s="4" t="s">
        <v>119</v>
      </c>
      <c r="H53" s="4" t="s">
        <v>120</v>
      </c>
      <c r="I53" s="4"/>
      <c r="J53" s="4"/>
      <c r="K53" s="4">
        <v>201</v>
      </c>
      <c r="L53" s="4">
        <v>1</v>
      </c>
      <c r="M53" s="4">
        <v>3</v>
      </c>
      <c r="N53" s="4" t="s">
        <v>3</v>
      </c>
      <c r="O53" s="4">
        <v>0</v>
      </c>
      <c r="P53" s="4"/>
      <c r="Q53" s="4"/>
      <c r="R53" s="4"/>
      <c r="S53" s="4"/>
      <c r="T53" s="4"/>
      <c r="U53" s="4"/>
      <c r="V53" s="4"/>
      <c r="W53" s="4">
        <v>13005</v>
      </c>
      <c r="X53" s="4">
        <v>1</v>
      </c>
      <c r="Y53" s="4">
        <v>140287</v>
      </c>
      <c r="Z53" s="4"/>
      <c r="AA53" s="4"/>
      <c r="AB53" s="4"/>
    </row>
    <row r="54" spans="1:245" x14ac:dyDescent="0.2">
      <c r="A54" s="4">
        <v>50</v>
      </c>
      <c r="B54" s="4">
        <v>0</v>
      </c>
      <c r="C54" s="4">
        <v>0</v>
      </c>
      <c r="D54" s="4">
        <v>1</v>
      </c>
      <c r="E54" s="4">
        <v>202</v>
      </c>
      <c r="F54" s="4">
        <f>ROUND(Source!P51,O54)</f>
        <v>10850</v>
      </c>
      <c r="G54" s="4" t="s">
        <v>121</v>
      </c>
      <c r="H54" s="4" t="s">
        <v>122</v>
      </c>
      <c r="I54" s="4"/>
      <c r="J54" s="4"/>
      <c r="K54" s="4">
        <v>202</v>
      </c>
      <c r="L54" s="4">
        <v>2</v>
      </c>
      <c r="M54" s="4">
        <v>3</v>
      </c>
      <c r="N54" s="4" t="s">
        <v>3</v>
      </c>
      <c r="O54" s="4">
        <v>0</v>
      </c>
      <c r="P54" s="4"/>
      <c r="Q54" s="4"/>
      <c r="R54" s="4"/>
      <c r="S54" s="4"/>
      <c r="T54" s="4"/>
      <c r="U54" s="4"/>
      <c r="V54" s="4"/>
      <c r="W54" s="4">
        <v>10850</v>
      </c>
      <c r="X54" s="4">
        <v>1</v>
      </c>
      <c r="Y54" s="4">
        <v>100905</v>
      </c>
      <c r="Z54" s="4"/>
      <c r="AA54" s="4"/>
      <c r="AB54" s="4"/>
    </row>
    <row r="55" spans="1:245" x14ac:dyDescent="0.2">
      <c r="A55" s="4">
        <v>50</v>
      </c>
      <c r="B55" s="4">
        <v>0</v>
      </c>
      <c r="C55" s="4">
        <v>0</v>
      </c>
      <c r="D55" s="4">
        <v>1</v>
      </c>
      <c r="E55" s="4">
        <v>222</v>
      </c>
      <c r="F55" s="4">
        <f>ROUND(Source!AO51,O55)</f>
        <v>0</v>
      </c>
      <c r="G55" s="4" t="s">
        <v>123</v>
      </c>
      <c r="H55" s="4" t="s">
        <v>124</v>
      </c>
      <c r="I55" s="4"/>
      <c r="J55" s="4"/>
      <c r="K55" s="4">
        <v>222</v>
      </c>
      <c r="L55" s="4">
        <v>3</v>
      </c>
      <c r="M55" s="4">
        <v>3</v>
      </c>
      <c r="N55" s="4" t="s">
        <v>3</v>
      </c>
      <c r="O55" s="4">
        <v>0</v>
      </c>
      <c r="P55" s="4"/>
      <c r="Q55" s="4"/>
      <c r="R55" s="4"/>
      <c r="S55" s="4"/>
      <c r="T55" s="4"/>
      <c r="U55" s="4"/>
      <c r="V55" s="4"/>
      <c r="W55" s="4">
        <v>0</v>
      </c>
      <c r="X55" s="4">
        <v>1</v>
      </c>
      <c r="Y55" s="4">
        <v>0</v>
      </c>
      <c r="Z55" s="4"/>
      <c r="AA55" s="4"/>
      <c r="AB55" s="4"/>
    </row>
    <row r="56" spans="1:245" x14ac:dyDescent="0.2">
      <c r="A56" s="4">
        <v>50</v>
      </c>
      <c r="B56" s="4">
        <v>0</v>
      </c>
      <c r="C56" s="4">
        <v>0</v>
      </c>
      <c r="D56" s="4">
        <v>1</v>
      </c>
      <c r="E56" s="4">
        <v>225</v>
      </c>
      <c r="F56" s="4">
        <f>ROUND(Source!AV51,O56)</f>
        <v>10850</v>
      </c>
      <c r="G56" s="4" t="s">
        <v>125</v>
      </c>
      <c r="H56" s="4" t="s">
        <v>126</v>
      </c>
      <c r="I56" s="4"/>
      <c r="J56" s="4"/>
      <c r="K56" s="4">
        <v>225</v>
      </c>
      <c r="L56" s="4">
        <v>4</v>
      </c>
      <c r="M56" s="4">
        <v>3</v>
      </c>
      <c r="N56" s="4" t="s">
        <v>3</v>
      </c>
      <c r="O56" s="4">
        <v>0</v>
      </c>
      <c r="P56" s="4"/>
      <c r="Q56" s="4"/>
      <c r="R56" s="4"/>
      <c r="S56" s="4"/>
      <c r="T56" s="4"/>
      <c r="U56" s="4"/>
      <c r="V56" s="4"/>
      <c r="W56" s="4">
        <v>10850</v>
      </c>
      <c r="X56" s="4">
        <v>1</v>
      </c>
      <c r="Y56" s="4">
        <v>0</v>
      </c>
      <c r="Z56" s="4"/>
      <c r="AA56" s="4"/>
      <c r="AB56" s="4"/>
    </row>
    <row r="57" spans="1:245" x14ac:dyDescent="0.2">
      <c r="A57" s="4">
        <v>50</v>
      </c>
      <c r="B57" s="4">
        <v>0</v>
      </c>
      <c r="C57" s="4">
        <v>0</v>
      </c>
      <c r="D57" s="4">
        <v>1</v>
      </c>
      <c r="E57" s="4">
        <v>226</v>
      </c>
      <c r="F57" s="4">
        <f>ROUND(Source!AW51,O57)</f>
        <v>10850</v>
      </c>
      <c r="G57" s="4" t="s">
        <v>127</v>
      </c>
      <c r="H57" s="4" t="s">
        <v>128</v>
      </c>
      <c r="I57" s="4"/>
      <c r="J57" s="4"/>
      <c r="K57" s="4">
        <v>226</v>
      </c>
      <c r="L57" s="4">
        <v>5</v>
      </c>
      <c r="M57" s="4">
        <v>3</v>
      </c>
      <c r="N57" s="4" t="s">
        <v>3</v>
      </c>
      <c r="O57" s="4">
        <v>0</v>
      </c>
      <c r="P57" s="4"/>
      <c r="Q57" s="4"/>
      <c r="R57" s="4"/>
      <c r="S57" s="4"/>
      <c r="T57" s="4"/>
      <c r="U57" s="4"/>
      <c r="V57" s="4"/>
      <c r="W57" s="4">
        <v>10850</v>
      </c>
      <c r="X57" s="4">
        <v>1</v>
      </c>
      <c r="Y57" s="4">
        <v>100905</v>
      </c>
      <c r="Z57" s="4"/>
      <c r="AA57" s="4"/>
      <c r="AB57" s="4"/>
    </row>
    <row r="58" spans="1:245" x14ac:dyDescent="0.2">
      <c r="A58" s="4">
        <v>50</v>
      </c>
      <c r="B58" s="4">
        <v>0</v>
      </c>
      <c r="C58" s="4">
        <v>0</v>
      </c>
      <c r="D58" s="4">
        <v>1</v>
      </c>
      <c r="E58" s="4">
        <v>227</v>
      </c>
      <c r="F58" s="4">
        <f>ROUND(Source!AX51,O58)</f>
        <v>0</v>
      </c>
      <c r="G58" s="4" t="s">
        <v>129</v>
      </c>
      <c r="H58" s="4" t="s">
        <v>130</v>
      </c>
      <c r="I58" s="4"/>
      <c r="J58" s="4"/>
      <c r="K58" s="4">
        <v>227</v>
      </c>
      <c r="L58" s="4">
        <v>6</v>
      </c>
      <c r="M58" s="4">
        <v>3</v>
      </c>
      <c r="N58" s="4" t="s">
        <v>3</v>
      </c>
      <c r="O58" s="4">
        <v>0</v>
      </c>
      <c r="P58" s="4"/>
      <c r="Q58" s="4"/>
      <c r="R58" s="4"/>
      <c r="S58" s="4"/>
      <c r="T58" s="4"/>
      <c r="U58" s="4"/>
      <c r="V58" s="4"/>
      <c r="W58" s="4">
        <v>0</v>
      </c>
      <c r="X58" s="4">
        <v>1</v>
      </c>
      <c r="Y58" s="4">
        <v>0</v>
      </c>
      <c r="Z58" s="4"/>
      <c r="AA58" s="4"/>
      <c r="AB58" s="4"/>
    </row>
    <row r="59" spans="1:245" x14ac:dyDescent="0.2">
      <c r="A59" s="4">
        <v>50</v>
      </c>
      <c r="B59" s="4">
        <v>0</v>
      </c>
      <c r="C59" s="4">
        <v>0</v>
      </c>
      <c r="D59" s="4">
        <v>1</v>
      </c>
      <c r="E59" s="4">
        <v>228</v>
      </c>
      <c r="F59" s="4">
        <f>ROUND(Source!AY51,O59)</f>
        <v>10850</v>
      </c>
      <c r="G59" s="4" t="s">
        <v>131</v>
      </c>
      <c r="H59" s="4" t="s">
        <v>132</v>
      </c>
      <c r="I59" s="4"/>
      <c r="J59" s="4"/>
      <c r="K59" s="4">
        <v>228</v>
      </c>
      <c r="L59" s="4">
        <v>7</v>
      </c>
      <c r="M59" s="4">
        <v>3</v>
      </c>
      <c r="N59" s="4" t="s">
        <v>3</v>
      </c>
      <c r="O59" s="4">
        <v>0</v>
      </c>
      <c r="P59" s="4"/>
      <c r="Q59" s="4"/>
      <c r="R59" s="4"/>
      <c r="S59" s="4"/>
      <c r="T59" s="4"/>
      <c r="U59" s="4"/>
      <c r="V59" s="4"/>
      <c r="W59" s="4">
        <v>10850</v>
      </c>
      <c r="X59" s="4">
        <v>1</v>
      </c>
      <c r="Y59" s="4">
        <v>100905</v>
      </c>
      <c r="Z59" s="4"/>
      <c r="AA59" s="4"/>
      <c r="AB59" s="4"/>
    </row>
    <row r="60" spans="1:245" x14ac:dyDescent="0.2">
      <c r="A60" s="4">
        <v>50</v>
      </c>
      <c r="B60" s="4">
        <v>0</v>
      </c>
      <c r="C60" s="4">
        <v>0</v>
      </c>
      <c r="D60" s="4">
        <v>1</v>
      </c>
      <c r="E60" s="4">
        <v>216</v>
      </c>
      <c r="F60" s="4">
        <f>ROUND(Source!AP51,O60)</f>
        <v>0</v>
      </c>
      <c r="G60" s="4" t="s">
        <v>133</v>
      </c>
      <c r="H60" s="4" t="s">
        <v>134</v>
      </c>
      <c r="I60" s="4"/>
      <c r="J60" s="4"/>
      <c r="K60" s="4">
        <v>216</v>
      </c>
      <c r="L60" s="4">
        <v>8</v>
      </c>
      <c r="M60" s="4">
        <v>3</v>
      </c>
      <c r="N60" s="4" t="s">
        <v>3</v>
      </c>
      <c r="O60" s="4">
        <v>0</v>
      </c>
      <c r="P60" s="4"/>
      <c r="Q60" s="4"/>
      <c r="R60" s="4"/>
      <c r="S60" s="4"/>
      <c r="T60" s="4"/>
      <c r="U60" s="4"/>
      <c r="V60" s="4"/>
      <c r="W60" s="4">
        <v>0</v>
      </c>
      <c r="X60" s="4">
        <v>1</v>
      </c>
      <c r="Y60" s="4">
        <v>0</v>
      </c>
      <c r="Z60" s="4"/>
      <c r="AA60" s="4"/>
      <c r="AB60" s="4"/>
    </row>
    <row r="61" spans="1:245" x14ac:dyDescent="0.2">
      <c r="A61" s="4">
        <v>50</v>
      </c>
      <c r="B61" s="4">
        <v>0</v>
      </c>
      <c r="C61" s="4">
        <v>0</v>
      </c>
      <c r="D61" s="4">
        <v>1</v>
      </c>
      <c r="E61" s="4">
        <v>223</v>
      </c>
      <c r="F61" s="4">
        <f>ROUND(Source!AQ51,O61)</f>
        <v>0</v>
      </c>
      <c r="G61" s="4" t="s">
        <v>135</v>
      </c>
      <c r="H61" s="4" t="s">
        <v>136</v>
      </c>
      <c r="I61" s="4"/>
      <c r="J61" s="4"/>
      <c r="K61" s="4">
        <v>223</v>
      </c>
      <c r="L61" s="4">
        <v>9</v>
      </c>
      <c r="M61" s="4">
        <v>3</v>
      </c>
      <c r="N61" s="4" t="s">
        <v>3</v>
      </c>
      <c r="O61" s="4">
        <v>0</v>
      </c>
      <c r="P61" s="4"/>
      <c r="Q61" s="4"/>
      <c r="R61" s="4"/>
      <c r="S61" s="4"/>
      <c r="T61" s="4"/>
      <c r="U61" s="4"/>
      <c r="V61" s="4"/>
      <c r="W61" s="4">
        <v>0</v>
      </c>
      <c r="X61" s="4">
        <v>1</v>
      </c>
      <c r="Y61" s="4">
        <v>0</v>
      </c>
      <c r="Z61" s="4"/>
      <c r="AA61" s="4"/>
      <c r="AB61" s="4"/>
    </row>
    <row r="62" spans="1:245" x14ac:dyDescent="0.2">
      <c r="A62" s="4">
        <v>50</v>
      </c>
      <c r="B62" s="4">
        <v>0</v>
      </c>
      <c r="C62" s="4">
        <v>0</v>
      </c>
      <c r="D62" s="4">
        <v>1</v>
      </c>
      <c r="E62" s="4">
        <v>229</v>
      </c>
      <c r="F62" s="4">
        <f>ROUND(Source!AZ51,O62)</f>
        <v>0</v>
      </c>
      <c r="G62" s="4" t="s">
        <v>137</v>
      </c>
      <c r="H62" s="4" t="s">
        <v>138</v>
      </c>
      <c r="I62" s="4"/>
      <c r="J62" s="4"/>
      <c r="K62" s="4">
        <v>229</v>
      </c>
      <c r="L62" s="4">
        <v>10</v>
      </c>
      <c r="M62" s="4">
        <v>3</v>
      </c>
      <c r="N62" s="4" t="s">
        <v>3</v>
      </c>
      <c r="O62" s="4">
        <v>0</v>
      </c>
      <c r="P62" s="4"/>
      <c r="Q62" s="4"/>
      <c r="R62" s="4"/>
      <c r="S62" s="4"/>
      <c r="T62" s="4"/>
      <c r="U62" s="4"/>
      <c r="V62" s="4"/>
      <c r="W62" s="4">
        <v>0</v>
      </c>
      <c r="X62" s="4">
        <v>1</v>
      </c>
      <c r="Y62" s="4">
        <v>0</v>
      </c>
      <c r="Z62" s="4"/>
      <c r="AA62" s="4"/>
      <c r="AB62" s="4"/>
    </row>
    <row r="63" spans="1:245" x14ac:dyDescent="0.2">
      <c r="A63" s="4">
        <v>50</v>
      </c>
      <c r="B63" s="4">
        <v>0</v>
      </c>
      <c r="C63" s="4">
        <v>0</v>
      </c>
      <c r="D63" s="4">
        <v>1</v>
      </c>
      <c r="E63" s="4">
        <v>203</v>
      </c>
      <c r="F63" s="4">
        <f>ROUND(Source!Q51,O63)</f>
        <v>1540</v>
      </c>
      <c r="G63" s="4" t="s">
        <v>139</v>
      </c>
      <c r="H63" s="4" t="s">
        <v>140</v>
      </c>
      <c r="I63" s="4"/>
      <c r="J63" s="4"/>
      <c r="K63" s="4">
        <v>203</v>
      </c>
      <c r="L63" s="4">
        <v>11</v>
      </c>
      <c r="M63" s="4">
        <v>3</v>
      </c>
      <c r="N63" s="4" t="s">
        <v>3</v>
      </c>
      <c r="O63" s="4">
        <v>0</v>
      </c>
      <c r="P63" s="4"/>
      <c r="Q63" s="4"/>
      <c r="R63" s="4"/>
      <c r="S63" s="4"/>
      <c r="T63" s="4"/>
      <c r="U63" s="4"/>
      <c r="V63" s="4"/>
      <c r="W63" s="4">
        <v>1540</v>
      </c>
      <c r="X63" s="4">
        <v>1</v>
      </c>
      <c r="Y63" s="4">
        <v>19142</v>
      </c>
      <c r="Z63" s="4"/>
      <c r="AA63" s="4"/>
      <c r="AB63" s="4"/>
    </row>
    <row r="64" spans="1:245" x14ac:dyDescent="0.2">
      <c r="A64" s="4">
        <v>50</v>
      </c>
      <c r="B64" s="4">
        <v>0</v>
      </c>
      <c r="C64" s="4">
        <v>0</v>
      </c>
      <c r="D64" s="4">
        <v>1</v>
      </c>
      <c r="E64" s="4">
        <v>231</v>
      </c>
      <c r="F64" s="4">
        <f>ROUND(Source!BB51,O64)</f>
        <v>0</v>
      </c>
      <c r="G64" s="4" t="s">
        <v>141</v>
      </c>
      <c r="H64" s="4" t="s">
        <v>142</v>
      </c>
      <c r="I64" s="4"/>
      <c r="J64" s="4"/>
      <c r="K64" s="4">
        <v>231</v>
      </c>
      <c r="L64" s="4">
        <v>12</v>
      </c>
      <c r="M64" s="4">
        <v>3</v>
      </c>
      <c r="N64" s="4" t="s">
        <v>3</v>
      </c>
      <c r="O64" s="4">
        <v>0</v>
      </c>
      <c r="P64" s="4"/>
      <c r="Q64" s="4"/>
      <c r="R64" s="4"/>
      <c r="S64" s="4"/>
      <c r="T64" s="4"/>
      <c r="U64" s="4"/>
      <c r="V64" s="4"/>
      <c r="W64" s="4">
        <v>0</v>
      </c>
      <c r="X64" s="4">
        <v>1</v>
      </c>
      <c r="Y64" s="4">
        <v>0</v>
      </c>
      <c r="Z64" s="4"/>
      <c r="AA64" s="4"/>
      <c r="AB64" s="4"/>
    </row>
    <row r="65" spans="1:28" x14ac:dyDescent="0.2">
      <c r="A65" s="4">
        <v>50</v>
      </c>
      <c r="B65" s="4">
        <v>0</v>
      </c>
      <c r="C65" s="4">
        <v>0</v>
      </c>
      <c r="D65" s="4">
        <v>1</v>
      </c>
      <c r="E65" s="4">
        <v>204</v>
      </c>
      <c r="F65" s="4">
        <f>ROUND(Source!R51,O65)</f>
        <v>86</v>
      </c>
      <c r="G65" s="4" t="s">
        <v>143</v>
      </c>
      <c r="H65" s="4" t="s">
        <v>144</v>
      </c>
      <c r="I65" s="4"/>
      <c r="J65" s="4"/>
      <c r="K65" s="4">
        <v>204</v>
      </c>
      <c r="L65" s="4">
        <v>13</v>
      </c>
      <c r="M65" s="4">
        <v>3</v>
      </c>
      <c r="N65" s="4" t="s">
        <v>3</v>
      </c>
      <c r="O65" s="4">
        <v>0</v>
      </c>
      <c r="P65" s="4"/>
      <c r="Q65" s="4"/>
      <c r="R65" s="4"/>
      <c r="S65" s="4"/>
      <c r="T65" s="4"/>
      <c r="U65" s="4"/>
      <c r="V65" s="4"/>
      <c r="W65" s="4">
        <v>86</v>
      </c>
      <c r="X65" s="4">
        <v>1</v>
      </c>
      <c r="Y65" s="4">
        <v>2830</v>
      </c>
      <c r="Z65" s="4"/>
      <c r="AA65" s="4"/>
      <c r="AB65" s="4"/>
    </row>
    <row r="66" spans="1:28" x14ac:dyDescent="0.2">
      <c r="A66" s="4">
        <v>50</v>
      </c>
      <c r="B66" s="4">
        <v>0</v>
      </c>
      <c r="C66" s="4">
        <v>0</v>
      </c>
      <c r="D66" s="4">
        <v>1</v>
      </c>
      <c r="E66" s="4">
        <v>205</v>
      </c>
      <c r="F66" s="4">
        <f>ROUND(Source!S51,O66)</f>
        <v>615</v>
      </c>
      <c r="G66" s="4" t="s">
        <v>145</v>
      </c>
      <c r="H66" s="4" t="s">
        <v>146</v>
      </c>
      <c r="I66" s="4"/>
      <c r="J66" s="4"/>
      <c r="K66" s="4">
        <v>205</v>
      </c>
      <c r="L66" s="4">
        <v>14</v>
      </c>
      <c r="M66" s="4">
        <v>3</v>
      </c>
      <c r="N66" s="4" t="s">
        <v>3</v>
      </c>
      <c r="O66" s="4">
        <v>0</v>
      </c>
      <c r="P66" s="4"/>
      <c r="Q66" s="4"/>
      <c r="R66" s="4"/>
      <c r="S66" s="4"/>
      <c r="T66" s="4"/>
      <c r="U66" s="4"/>
      <c r="V66" s="4"/>
      <c r="W66" s="4">
        <v>615</v>
      </c>
      <c r="X66" s="4">
        <v>1</v>
      </c>
      <c r="Y66" s="4">
        <v>20240</v>
      </c>
      <c r="Z66" s="4"/>
      <c r="AA66" s="4"/>
      <c r="AB66" s="4"/>
    </row>
    <row r="67" spans="1:28" x14ac:dyDescent="0.2">
      <c r="A67" s="4">
        <v>50</v>
      </c>
      <c r="B67" s="4">
        <v>0</v>
      </c>
      <c r="C67" s="4">
        <v>0</v>
      </c>
      <c r="D67" s="4">
        <v>1</v>
      </c>
      <c r="E67" s="4">
        <v>232</v>
      </c>
      <c r="F67" s="4">
        <f>ROUND(Source!BC51,O67)</f>
        <v>0</v>
      </c>
      <c r="G67" s="4" t="s">
        <v>147</v>
      </c>
      <c r="H67" s="4" t="s">
        <v>148</v>
      </c>
      <c r="I67" s="4"/>
      <c r="J67" s="4"/>
      <c r="K67" s="4">
        <v>232</v>
      </c>
      <c r="L67" s="4">
        <v>15</v>
      </c>
      <c r="M67" s="4">
        <v>3</v>
      </c>
      <c r="N67" s="4" t="s">
        <v>3</v>
      </c>
      <c r="O67" s="4">
        <v>0</v>
      </c>
      <c r="P67" s="4"/>
      <c r="Q67" s="4"/>
      <c r="R67" s="4"/>
      <c r="S67" s="4"/>
      <c r="T67" s="4"/>
      <c r="U67" s="4"/>
      <c r="V67" s="4"/>
      <c r="W67" s="4">
        <v>0</v>
      </c>
      <c r="X67" s="4">
        <v>1</v>
      </c>
      <c r="Y67" s="4">
        <v>0</v>
      </c>
      <c r="Z67" s="4"/>
      <c r="AA67" s="4"/>
      <c r="AB67" s="4"/>
    </row>
    <row r="68" spans="1:28" x14ac:dyDescent="0.2">
      <c r="A68" s="4">
        <v>50</v>
      </c>
      <c r="B68" s="4">
        <v>0</v>
      </c>
      <c r="C68" s="4">
        <v>0</v>
      </c>
      <c r="D68" s="4">
        <v>1</v>
      </c>
      <c r="E68" s="4">
        <v>214</v>
      </c>
      <c r="F68" s="4">
        <f>ROUND(Source!AS51,O68)</f>
        <v>14133</v>
      </c>
      <c r="G68" s="4" t="s">
        <v>149</v>
      </c>
      <c r="H68" s="4" t="s">
        <v>150</v>
      </c>
      <c r="I68" s="4"/>
      <c r="J68" s="4"/>
      <c r="K68" s="4">
        <v>214</v>
      </c>
      <c r="L68" s="4">
        <v>16</v>
      </c>
      <c r="M68" s="4">
        <v>3</v>
      </c>
      <c r="N68" s="4" t="s">
        <v>3</v>
      </c>
      <c r="O68" s="4">
        <v>0</v>
      </c>
      <c r="P68" s="4"/>
      <c r="Q68" s="4"/>
      <c r="R68" s="4"/>
      <c r="S68" s="4"/>
      <c r="T68" s="4"/>
      <c r="U68" s="4"/>
      <c r="V68" s="4"/>
      <c r="W68" s="4">
        <v>14133</v>
      </c>
      <c r="X68" s="4">
        <v>1</v>
      </c>
      <c r="Y68" s="4">
        <v>177439</v>
      </c>
      <c r="Z68" s="4"/>
      <c r="AA68" s="4"/>
      <c r="AB68" s="4"/>
    </row>
    <row r="69" spans="1:28" x14ac:dyDescent="0.2">
      <c r="A69" s="4">
        <v>50</v>
      </c>
      <c r="B69" s="4">
        <v>0</v>
      </c>
      <c r="C69" s="4">
        <v>0</v>
      </c>
      <c r="D69" s="4">
        <v>1</v>
      </c>
      <c r="E69" s="4">
        <v>215</v>
      </c>
      <c r="F69" s="4">
        <f>ROUND(Source!AT51,O69)</f>
        <v>0</v>
      </c>
      <c r="G69" s="4" t="s">
        <v>151</v>
      </c>
      <c r="H69" s="4" t="s">
        <v>152</v>
      </c>
      <c r="I69" s="4"/>
      <c r="J69" s="4"/>
      <c r="K69" s="4">
        <v>215</v>
      </c>
      <c r="L69" s="4">
        <v>17</v>
      </c>
      <c r="M69" s="4">
        <v>3</v>
      </c>
      <c r="N69" s="4" t="s">
        <v>3</v>
      </c>
      <c r="O69" s="4">
        <v>0</v>
      </c>
      <c r="P69" s="4"/>
      <c r="Q69" s="4"/>
      <c r="R69" s="4"/>
      <c r="S69" s="4"/>
      <c r="T69" s="4"/>
      <c r="U69" s="4"/>
      <c r="V69" s="4"/>
      <c r="W69" s="4">
        <v>0</v>
      </c>
      <c r="X69" s="4">
        <v>1</v>
      </c>
      <c r="Y69" s="4">
        <v>0</v>
      </c>
      <c r="Z69" s="4"/>
      <c r="AA69" s="4"/>
      <c r="AB69" s="4"/>
    </row>
    <row r="70" spans="1:28" x14ac:dyDescent="0.2">
      <c r="A70" s="4">
        <v>50</v>
      </c>
      <c r="B70" s="4">
        <v>0</v>
      </c>
      <c r="C70" s="4">
        <v>0</v>
      </c>
      <c r="D70" s="4">
        <v>1</v>
      </c>
      <c r="E70" s="4">
        <v>217</v>
      </c>
      <c r="F70" s="4">
        <f>ROUND(Source!AU51,O70)</f>
        <v>0</v>
      </c>
      <c r="G70" s="4" t="s">
        <v>153</v>
      </c>
      <c r="H70" s="4" t="s">
        <v>154</v>
      </c>
      <c r="I70" s="4"/>
      <c r="J70" s="4"/>
      <c r="K70" s="4">
        <v>217</v>
      </c>
      <c r="L70" s="4">
        <v>18</v>
      </c>
      <c r="M70" s="4">
        <v>3</v>
      </c>
      <c r="N70" s="4" t="s">
        <v>3</v>
      </c>
      <c r="O70" s="4">
        <v>0</v>
      </c>
      <c r="P70" s="4"/>
      <c r="Q70" s="4"/>
      <c r="R70" s="4"/>
      <c r="S70" s="4"/>
      <c r="T70" s="4"/>
      <c r="U70" s="4"/>
      <c r="V70" s="4"/>
      <c r="W70" s="4">
        <v>0</v>
      </c>
      <c r="X70" s="4">
        <v>1</v>
      </c>
      <c r="Y70" s="4">
        <v>0</v>
      </c>
      <c r="Z70" s="4"/>
      <c r="AA70" s="4"/>
      <c r="AB70" s="4"/>
    </row>
    <row r="71" spans="1:28" x14ac:dyDescent="0.2">
      <c r="A71" s="4">
        <v>50</v>
      </c>
      <c r="B71" s="4">
        <v>0</v>
      </c>
      <c r="C71" s="4">
        <v>0</v>
      </c>
      <c r="D71" s="4">
        <v>1</v>
      </c>
      <c r="E71" s="4">
        <v>230</v>
      </c>
      <c r="F71" s="4">
        <f>ROUND(Source!BA51,O71)</f>
        <v>0</v>
      </c>
      <c r="G71" s="4" t="s">
        <v>155</v>
      </c>
      <c r="H71" s="4" t="s">
        <v>156</v>
      </c>
      <c r="I71" s="4"/>
      <c r="J71" s="4"/>
      <c r="K71" s="4">
        <v>230</v>
      </c>
      <c r="L71" s="4">
        <v>19</v>
      </c>
      <c r="M71" s="4">
        <v>3</v>
      </c>
      <c r="N71" s="4" t="s">
        <v>3</v>
      </c>
      <c r="O71" s="4">
        <v>0</v>
      </c>
      <c r="P71" s="4"/>
      <c r="Q71" s="4"/>
      <c r="R71" s="4"/>
      <c r="S71" s="4"/>
      <c r="T71" s="4"/>
      <c r="U71" s="4"/>
      <c r="V71" s="4"/>
      <c r="W71" s="4">
        <v>0</v>
      </c>
      <c r="X71" s="4">
        <v>1</v>
      </c>
      <c r="Y71" s="4">
        <v>0</v>
      </c>
      <c r="Z71" s="4"/>
      <c r="AA71" s="4"/>
      <c r="AB71" s="4"/>
    </row>
    <row r="72" spans="1:28" x14ac:dyDescent="0.2">
      <c r="A72" s="4">
        <v>50</v>
      </c>
      <c r="B72" s="4">
        <v>0</v>
      </c>
      <c r="C72" s="4">
        <v>0</v>
      </c>
      <c r="D72" s="4">
        <v>1</v>
      </c>
      <c r="E72" s="4">
        <v>206</v>
      </c>
      <c r="F72" s="4">
        <f>ROUND(Source!T51,O72)</f>
        <v>0</v>
      </c>
      <c r="G72" s="4" t="s">
        <v>157</v>
      </c>
      <c r="H72" s="4" t="s">
        <v>158</v>
      </c>
      <c r="I72" s="4"/>
      <c r="J72" s="4"/>
      <c r="K72" s="4">
        <v>206</v>
      </c>
      <c r="L72" s="4">
        <v>20</v>
      </c>
      <c r="M72" s="4">
        <v>3</v>
      </c>
      <c r="N72" s="4" t="s">
        <v>3</v>
      </c>
      <c r="O72" s="4">
        <v>0</v>
      </c>
      <c r="P72" s="4"/>
      <c r="Q72" s="4"/>
      <c r="R72" s="4"/>
      <c r="S72" s="4"/>
      <c r="T72" s="4"/>
      <c r="U72" s="4"/>
      <c r="V72" s="4"/>
      <c r="W72" s="4">
        <v>0</v>
      </c>
      <c r="X72" s="4">
        <v>1</v>
      </c>
      <c r="Y72" s="4">
        <v>0</v>
      </c>
      <c r="Z72" s="4"/>
      <c r="AA72" s="4"/>
      <c r="AB72" s="4"/>
    </row>
    <row r="73" spans="1:28" x14ac:dyDescent="0.2">
      <c r="A73" s="4">
        <v>50</v>
      </c>
      <c r="B73" s="4">
        <v>0</v>
      </c>
      <c r="C73" s="4">
        <v>0</v>
      </c>
      <c r="D73" s="4">
        <v>1</v>
      </c>
      <c r="E73" s="4">
        <v>207</v>
      </c>
      <c r="F73" s="4">
        <f>Source!U51</f>
        <v>68.476216000000008</v>
      </c>
      <c r="G73" s="4" t="s">
        <v>159</v>
      </c>
      <c r="H73" s="4" t="s">
        <v>160</v>
      </c>
      <c r="I73" s="4"/>
      <c r="J73" s="4"/>
      <c r="K73" s="4">
        <v>207</v>
      </c>
      <c r="L73" s="4">
        <v>21</v>
      </c>
      <c r="M73" s="4">
        <v>3</v>
      </c>
      <c r="N73" s="4" t="s">
        <v>3</v>
      </c>
      <c r="O73" s="4">
        <v>-1</v>
      </c>
      <c r="P73" s="4"/>
      <c r="Q73" s="4"/>
      <c r="R73" s="4"/>
      <c r="S73" s="4"/>
      <c r="T73" s="4"/>
      <c r="U73" s="4"/>
      <c r="V73" s="4"/>
      <c r="W73" s="4">
        <v>68.476215999999994</v>
      </c>
      <c r="X73" s="4">
        <v>1</v>
      </c>
      <c r="Y73" s="4">
        <v>68.476215999999994</v>
      </c>
      <c r="Z73" s="4"/>
      <c r="AA73" s="4"/>
      <c r="AB73" s="4"/>
    </row>
    <row r="74" spans="1:28" x14ac:dyDescent="0.2">
      <c r="A74" s="4">
        <v>50</v>
      </c>
      <c r="B74" s="4">
        <v>0</v>
      </c>
      <c r="C74" s="4">
        <v>0</v>
      </c>
      <c r="D74" s="4">
        <v>1</v>
      </c>
      <c r="E74" s="4">
        <v>208</v>
      </c>
      <c r="F74" s="4">
        <f>Source!V51</f>
        <v>5.7678919999999998</v>
      </c>
      <c r="G74" s="4" t="s">
        <v>161</v>
      </c>
      <c r="H74" s="4" t="s">
        <v>162</v>
      </c>
      <c r="I74" s="4"/>
      <c r="J74" s="4"/>
      <c r="K74" s="4">
        <v>208</v>
      </c>
      <c r="L74" s="4">
        <v>22</v>
      </c>
      <c r="M74" s="4">
        <v>3</v>
      </c>
      <c r="N74" s="4" t="s">
        <v>3</v>
      </c>
      <c r="O74" s="4">
        <v>-1</v>
      </c>
      <c r="P74" s="4"/>
      <c r="Q74" s="4"/>
      <c r="R74" s="4"/>
      <c r="S74" s="4"/>
      <c r="T74" s="4"/>
      <c r="U74" s="4"/>
      <c r="V74" s="4"/>
      <c r="W74" s="4">
        <v>5.7678919999999998</v>
      </c>
      <c r="X74" s="4">
        <v>1</v>
      </c>
      <c r="Y74" s="4">
        <v>5.7678919999999998</v>
      </c>
      <c r="Z74" s="4"/>
      <c r="AA74" s="4"/>
      <c r="AB74" s="4"/>
    </row>
    <row r="75" spans="1:28" x14ac:dyDescent="0.2">
      <c r="A75" s="4">
        <v>50</v>
      </c>
      <c r="B75" s="4">
        <v>0</v>
      </c>
      <c r="C75" s="4">
        <v>0</v>
      </c>
      <c r="D75" s="4">
        <v>1</v>
      </c>
      <c r="E75" s="4">
        <v>209</v>
      </c>
      <c r="F75" s="4">
        <f>ROUND(Source!W51,O75)</f>
        <v>0</v>
      </c>
      <c r="G75" s="4" t="s">
        <v>163</v>
      </c>
      <c r="H75" s="4" t="s">
        <v>164</v>
      </c>
      <c r="I75" s="4"/>
      <c r="J75" s="4"/>
      <c r="K75" s="4">
        <v>209</v>
      </c>
      <c r="L75" s="4">
        <v>23</v>
      </c>
      <c r="M75" s="4">
        <v>3</v>
      </c>
      <c r="N75" s="4" t="s">
        <v>3</v>
      </c>
      <c r="O75" s="4">
        <v>0</v>
      </c>
      <c r="P75" s="4"/>
      <c r="Q75" s="4"/>
      <c r="R75" s="4"/>
      <c r="S75" s="4"/>
      <c r="T75" s="4"/>
      <c r="U75" s="4"/>
      <c r="V75" s="4"/>
      <c r="W75" s="4">
        <v>0</v>
      </c>
      <c r="X75" s="4">
        <v>1</v>
      </c>
      <c r="Y75" s="4">
        <v>0</v>
      </c>
      <c r="Z75" s="4"/>
      <c r="AA75" s="4"/>
      <c r="AB75" s="4"/>
    </row>
    <row r="76" spans="1:28" x14ac:dyDescent="0.2">
      <c r="A76" s="4">
        <v>50</v>
      </c>
      <c r="B76" s="4">
        <v>0</v>
      </c>
      <c r="C76" s="4">
        <v>0</v>
      </c>
      <c r="D76" s="4">
        <v>1</v>
      </c>
      <c r="E76" s="4">
        <v>233</v>
      </c>
      <c r="F76" s="4">
        <f>ROUND(Source!BD51,O76)</f>
        <v>0</v>
      </c>
      <c r="G76" s="4" t="s">
        <v>165</v>
      </c>
      <c r="H76" s="4" t="s">
        <v>166</v>
      </c>
      <c r="I76" s="4"/>
      <c r="J76" s="4"/>
      <c r="K76" s="4">
        <v>233</v>
      </c>
      <c r="L76" s="4">
        <v>24</v>
      </c>
      <c r="M76" s="4">
        <v>3</v>
      </c>
      <c r="N76" s="4" t="s">
        <v>3</v>
      </c>
      <c r="O76" s="4">
        <v>0</v>
      </c>
      <c r="P76" s="4"/>
      <c r="Q76" s="4"/>
      <c r="R76" s="4"/>
      <c r="S76" s="4"/>
      <c r="T76" s="4"/>
      <c r="U76" s="4"/>
      <c r="V76" s="4"/>
      <c r="W76" s="4">
        <v>0</v>
      </c>
      <c r="X76" s="4">
        <v>1</v>
      </c>
      <c r="Y76" s="4">
        <v>0</v>
      </c>
      <c r="Z76" s="4"/>
      <c r="AA76" s="4"/>
      <c r="AB76" s="4"/>
    </row>
    <row r="77" spans="1:28" x14ac:dyDescent="0.2">
      <c r="A77" s="4">
        <v>50</v>
      </c>
      <c r="B77" s="4">
        <v>0</v>
      </c>
      <c r="C77" s="4">
        <v>0</v>
      </c>
      <c r="D77" s="4">
        <v>1</v>
      </c>
      <c r="E77" s="4">
        <v>210</v>
      </c>
      <c r="F77" s="4">
        <f>ROUND(Source!X51,O77)</f>
        <v>728</v>
      </c>
      <c r="G77" s="4" t="s">
        <v>167</v>
      </c>
      <c r="H77" s="4" t="s">
        <v>168</v>
      </c>
      <c r="I77" s="4"/>
      <c r="J77" s="4"/>
      <c r="K77" s="4">
        <v>210</v>
      </c>
      <c r="L77" s="4">
        <v>25</v>
      </c>
      <c r="M77" s="4">
        <v>3</v>
      </c>
      <c r="N77" s="4" t="s">
        <v>3</v>
      </c>
      <c r="O77" s="4">
        <v>0</v>
      </c>
      <c r="P77" s="4"/>
      <c r="Q77" s="4"/>
      <c r="R77" s="4"/>
      <c r="S77" s="4"/>
      <c r="T77" s="4"/>
      <c r="U77" s="4"/>
      <c r="V77" s="4"/>
      <c r="W77" s="4">
        <v>728</v>
      </c>
      <c r="X77" s="4">
        <v>1</v>
      </c>
      <c r="Y77" s="4">
        <v>23986</v>
      </c>
      <c r="Z77" s="4"/>
      <c r="AA77" s="4"/>
      <c r="AB77" s="4"/>
    </row>
    <row r="78" spans="1:28" x14ac:dyDescent="0.2">
      <c r="A78" s="4">
        <v>50</v>
      </c>
      <c r="B78" s="4">
        <v>0</v>
      </c>
      <c r="C78" s="4">
        <v>0</v>
      </c>
      <c r="D78" s="4">
        <v>1</v>
      </c>
      <c r="E78" s="4">
        <v>211</v>
      </c>
      <c r="F78" s="4">
        <f>ROUND(Source!Y51,O78)</f>
        <v>400</v>
      </c>
      <c r="G78" s="4" t="s">
        <v>169</v>
      </c>
      <c r="H78" s="4" t="s">
        <v>170</v>
      </c>
      <c r="I78" s="4"/>
      <c r="J78" s="4"/>
      <c r="K78" s="4">
        <v>211</v>
      </c>
      <c r="L78" s="4">
        <v>26</v>
      </c>
      <c r="M78" s="4">
        <v>3</v>
      </c>
      <c r="N78" s="4" t="s">
        <v>3</v>
      </c>
      <c r="O78" s="4">
        <v>0</v>
      </c>
      <c r="P78" s="4"/>
      <c r="Q78" s="4"/>
      <c r="R78" s="4"/>
      <c r="S78" s="4"/>
      <c r="T78" s="4"/>
      <c r="U78" s="4"/>
      <c r="V78" s="4"/>
      <c r="W78" s="4">
        <v>400</v>
      </c>
      <c r="X78" s="4">
        <v>1</v>
      </c>
      <c r="Y78" s="4">
        <v>13166</v>
      </c>
      <c r="Z78" s="4"/>
      <c r="AA78" s="4"/>
      <c r="AB78" s="4"/>
    </row>
    <row r="79" spans="1:28" x14ac:dyDescent="0.2">
      <c r="A79" s="4">
        <v>50</v>
      </c>
      <c r="B79" s="4">
        <v>0</v>
      </c>
      <c r="C79" s="4">
        <v>0</v>
      </c>
      <c r="D79" s="4">
        <v>1</v>
      </c>
      <c r="E79" s="4">
        <v>224</v>
      </c>
      <c r="F79" s="4">
        <f>ROUND(Source!AR51,O79)</f>
        <v>14133</v>
      </c>
      <c r="G79" s="4" t="s">
        <v>171</v>
      </c>
      <c r="H79" s="4" t="s">
        <v>172</v>
      </c>
      <c r="I79" s="4"/>
      <c r="J79" s="4"/>
      <c r="K79" s="4">
        <v>224</v>
      </c>
      <c r="L79" s="4">
        <v>27</v>
      </c>
      <c r="M79" s="4">
        <v>3</v>
      </c>
      <c r="N79" s="4" t="s">
        <v>3</v>
      </c>
      <c r="O79" s="4">
        <v>0</v>
      </c>
      <c r="P79" s="4"/>
      <c r="Q79" s="4"/>
      <c r="R79" s="4"/>
      <c r="S79" s="4"/>
      <c r="T79" s="4"/>
      <c r="U79" s="4"/>
      <c r="V79" s="4"/>
      <c r="W79" s="4">
        <v>14133</v>
      </c>
      <c r="X79" s="4">
        <v>1</v>
      </c>
      <c r="Y79" s="4">
        <v>177439</v>
      </c>
      <c r="Z79" s="4"/>
      <c r="AA79" s="4"/>
      <c r="AB79" s="4"/>
    </row>
    <row r="80" spans="1:28" x14ac:dyDescent="0.2">
      <c r="A80" s="4">
        <v>50</v>
      </c>
      <c r="B80" s="4">
        <v>1</v>
      </c>
      <c r="C80" s="4">
        <v>0</v>
      </c>
      <c r="D80" s="4">
        <v>2</v>
      </c>
      <c r="E80" s="4">
        <v>0</v>
      </c>
      <c r="F80" s="4">
        <f>ROUND(F66,O80)</f>
        <v>615</v>
      </c>
      <c r="G80" s="4" t="s">
        <v>173</v>
      </c>
      <c r="H80" s="4" t="s">
        <v>174</v>
      </c>
      <c r="I80" s="4"/>
      <c r="J80" s="4"/>
      <c r="K80" s="4">
        <v>212</v>
      </c>
      <c r="L80" s="4">
        <v>28</v>
      </c>
      <c r="M80" s="4">
        <v>0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>
        <v>615</v>
      </c>
      <c r="X80" s="4">
        <v>1</v>
      </c>
      <c r="Y80" s="4">
        <v>20240</v>
      </c>
      <c r="Z80" s="4"/>
      <c r="AA80" s="4"/>
      <c r="AB80" s="4"/>
    </row>
    <row r="81" spans="1:206" x14ac:dyDescent="0.2">
      <c r="A81" s="4">
        <v>50</v>
      </c>
      <c r="B81" s="4">
        <v>1</v>
      </c>
      <c r="C81" s="4">
        <v>0</v>
      </c>
      <c r="D81" s="4">
        <v>2</v>
      </c>
      <c r="E81" s="4">
        <v>0</v>
      </c>
      <c r="F81" s="4">
        <f>ROUND(F63,O81)</f>
        <v>1540</v>
      </c>
      <c r="G81" s="4" t="s">
        <v>175</v>
      </c>
      <c r="H81" s="4" t="s">
        <v>176</v>
      </c>
      <c r="I81" s="4"/>
      <c r="J81" s="4"/>
      <c r="K81" s="4">
        <v>212</v>
      </c>
      <c r="L81" s="4">
        <v>29</v>
      </c>
      <c r="M81" s="4">
        <v>0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>
        <v>1540</v>
      </c>
      <c r="X81" s="4">
        <v>1</v>
      </c>
      <c r="Y81" s="4">
        <v>19142</v>
      </c>
      <c r="Z81" s="4"/>
      <c r="AA81" s="4"/>
      <c r="AB81" s="4"/>
    </row>
    <row r="82" spans="1:206" x14ac:dyDescent="0.2">
      <c r="A82" s="4">
        <v>50</v>
      </c>
      <c r="B82" s="4">
        <v>1</v>
      </c>
      <c r="C82" s="4">
        <v>0</v>
      </c>
      <c r="D82" s="4">
        <v>2</v>
      </c>
      <c r="E82" s="4">
        <v>0</v>
      </c>
      <c r="F82" s="4">
        <f>ROUND(F57,O82)</f>
        <v>10850</v>
      </c>
      <c r="G82" s="4" t="s">
        <v>177</v>
      </c>
      <c r="H82" s="4" t="s">
        <v>178</v>
      </c>
      <c r="I82" s="4"/>
      <c r="J82" s="4"/>
      <c r="K82" s="4">
        <v>212</v>
      </c>
      <c r="L82" s="4">
        <v>30</v>
      </c>
      <c r="M82" s="4">
        <v>0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>
        <v>10850</v>
      </c>
      <c r="X82" s="4">
        <v>1</v>
      </c>
      <c r="Y82" s="4">
        <v>100905</v>
      </c>
      <c r="Z82" s="4"/>
      <c r="AA82" s="4"/>
      <c r="AB82" s="4"/>
    </row>
    <row r="83" spans="1:206" x14ac:dyDescent="0.2">
      <c r="A83" s="4">
        <v>50</v>
      </c>
      <c r="B83" s="4">
        <v>0</v>
      </c>
      <c r="C83" s="4">
        <v>0</v>
      </c>
      <c r="D83" s="4">
        <v>2</v>
      </c>
      <c r="E83" s="4">
        <v>0</v>
      </c>
      <c r="F83" s="4">
        <f>ROUND(F60,O83)</f>
        <v>0</v>
      </c>
      <c r="G83" s="4" t="s">
        <v>179</v>
      </c>
      <c r="H83" s="4" t="s">
        <v>180</v>
      </c>
      <c r="I83" s="4"/>
      <c r="J83" s="4"/>
      <c r="K83" s="4">
        <v>212</v>
      </c>
      <c r="L83" s="4">
        <v>31</v>
      </c>
      <c r="M83" s="4">
        <v>1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>
        <v>0</v>
      </c>
      <c r="X83" s="4">
        <v>1</v>
      </c>
      <c r="Y83" s="4">
        <v>0</v>
      </c>
      <c r="Z83" s="4"/>
      <c r="AA83" s="4"/>
      <c r="AB83" s="4"/>
    </row>
    <row r="84" spans="1:206" x14ac:dyDescent="0.2">
      <c r="A84" s="4">
        <v>50</v>
      </c>
      <c r="B84" s="4">
        <v>1</v>
      </c>
      <c r="C84" s="4">
        <v>0</v>
      </c>
      <c r="D84" s="4">
        <v>2</v>
      </c>
      <c r="E84" s="4">
        <v>0</v>
      </c>
      <c r="F84" s="4">
        <f>ROUND(F77,O84)</f>
        <v>728</v>
      </c>
      <c r="G84" s="4" t="s">
        <v>181</v>
      </c>
      <c r="H84" s="4" t="s">
        <v>167</v>
      </c>
      <c r="I84" s="4"/>
      <c r="J84" s="4"/>
      <c r="K84" s="4">
        <v>212</v>
      </c>
      <c r="L84" s="4">
        <v>32</v>
      </c>
      <c r="M84" s="4">
        <v>0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>
        <v>728</v>
      </c>
      <c r="X84" s="4">
        <v>1</v>
      </c>
      <c r="Y84" s="4">
        <v>23986</v>
      </c>
      <c r="Z84" s="4"/>
      <c r="AA84" s="4"/>
      <c r="AB84" s="4"/>
    </row>
    <row r="85" spans="1:206" x14ac:dyDescent="0.2">
      <c r="A85" s="4">
        <v>50</v>
      </c>
      <c r="B85" s="4">
        <v>1</v>
      </c>
      <c r="C85" s="4">
        <v>0</v>
      </c>
      <c r="D85" s="4">
        <v>2</v>
      </c>
      <c r="E85" s="4">
        <v>0</v>
      </c>
      <c r="F85" s="4">
        <f>ROUND(F78,O85)</f>
        <v>400</v>
      </c>
      <c r="G85" s="4" t="s">
        <v>182</v>
      </c>
      <c r="H85" s="4" t="s">
        <v>183</v>
      </c>
      <c r="I85" s="4"/>
      <c r="J85" s="4"/>
      <c r="K85" s="4">
        <v>212</v>
      </c>
      <c r="L85" s="4">
        <v>33</v>
      </c>
      <c r="M85" s="4">
        <v>0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>
        <v>400</v>
      </c>
      <c r="X85" s="4">
        <v>1</v>
      </c>
      <c r="Y85" s="4">
        <v>13166</v>
      </c>
      <c r="Z85" s="4"/>
      <c r="AA85" s="4"/>
      <c r="AB85" s="4"/>
    </row>
    <row r="86" spans="1:206" x14ac:dyDescent="0.2">
      <c r="A86" s="4">
        <v>50</v>
      </c>
      <c r="B86" s="4">
        <v>0</v>
      </c>
      <c r="C86" s="4">
        <v>0</v>
      </c>
      <c r="D86" s="4">
        <v>2</v>
      </c>
      <c r="E86" s="4">
        <v>0</v>
      </c>
      <c r="F86" s="4">
        <f>ROUND(F76,O86)</f>
        <v>0</v>
      </c>
      <c r="G86" s="4" t="s">
        <v>184</v>
      </c>
      <c r="H86" s="4" t="s">
        <v>166</v>
      </c>
      <c r="I86" s="4"/>
      <c r="J86" s="4"/>
      <c r="K86" s="4">
        <v>212</v>
      </c>
      <c r="L86" s="4">
        <v>34</v>
      </c>
      <c r="M86" s="4">
        <v>1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>
        <v>0</v>
      </c>
      <c r="X86" s="4">
        <v>1</v>
      </c>
      <c r="Y86" s="4">
        <v>0</v>
      </c>
      <c r="Z86" s="4"/>
      <c r="AA86" s="4"/>
      <c r="AB86" s="4"/>
    </row>
    <row r="87" spans="1:206" x14ac:dyDescent="0.2">
      <c r="A87" s="4">
        <v>50</v>
      </c>
      <c r="B87" s="4">
        <v>1</v>
      </c>
      <c r="C87" s="4">
        <v>0</v>
      </c>
      <c r="D87" s="4">
        <v>2</v>
      </c>
      <c r="E87" s="4">
        <v>0</v>
      </c>
      <c r="F87" s="4">
        <f>ROUND(F79,O87)</f>
        <v>14133</v>
      </c>
      <c r="G87" s="4" t="s">
        <v>185</v>
      </c>
      <c r="H87" s="4" t="s">
        <v>171</v>
      </c>
      <c r="I87" s="4"/>
      <c r="J87" s="4"/>
      <c r="K87" s="4">
        <v>212</v>
      </c>
      <c r="L87" s="4">
        <v>35</v>
      </c>
      <c r="M87" s="4">
        <v>0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>
        <v>14133</v>
      </c>
      <c r="X87" s="4">
        <v>1</v>
      </c>
      <c r="Y87" s="4">
        <v>177439</v>
      </c>
      <c r="Z87" s="4"/>
      <c r="AA87" s="4"/>
      <c r="AB87" s="4"/>
    </row>
    <row r="88" spans="1:206" x14ac:dyDescent="0.2">
      <c r="A88" s="4">
        <v>50</v>
      </c>
      <c r="B88" s="4">
        <v>0</v>
      </c>
      <c r="C88" s="4">
        <v>0</v>
      </c>
      <c r="D88" s="4">
        <v>2</v>
      </c>
      <c r="E88" s="4">
        <v>0</v>
      </c>
      <c r="F88" s="4">
        <f>ROUND(F87*0.2,O88)</f>
        <v>2826.6</v>
      </c>
      <c r="G88" s="4" t="s">
        <v>186</v>
      </c>
      <c r="H88" s="4" t="s">
        <v>187</v>
      </c>
      <c r="I88" s="4"/>
      <c r="J88" s="4"/>
      <c r="K88" s="4">
        <v>212</v>
      </c>
      <c r="L88" s="4">
        <v>36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>
        <v>2827</v>
      </c>
      <c r="X88" s="4">
        <v>1</v>
      </c>
      <c r="Y88" s="4">
        <v>35488</v>
      </c>
      <c r="Z88" s="4"/>
      <c r="AA88" s="4"/>
      <c r="AB88" s="4"/>
    </row>
    <row r="89" spans="1:206" x14ac:dyDescent="0.2">
      <c r="A89" s="4">
        <v>50</v>
      </c>
      <c r="B89" s="4">
        <v>0</v>
      </c>
      <c r="C89" s="4">
        <v>0</v>
      </c>
      <c r="D89" s="4">
        <v>2</v>
      </c>
      <c r="E89" s="4">
        <v>213</v>
      </c>
      <c r="F89" s="4">
        <f>ROUND(F87+F88,O89)</f>
        <v>16959.599999999999</v>
      </c>
      <c r="G89" s="4" t="s">
        <v>188</v>
      </c>
      <c r="H89" s="4" t="s">
        <v>189</v>
      </c>
      <c r="I89" s="4"/>
      <c r="J89" s="4"/>
      <c r="K89" s="4">
        <v>212</v>
      </c>
      <c r="L89" s="4">
        <v>37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>
        <v>16960</v>
      </c>
      <c r="X89" s="4">
        <v>1</v>
      </c>
      <c r="Y89" s="4">
        <v>212927</v>
      </c>
      <c r="Z89" s="4"/>
      <c r="AA89" s="4"/>
      <c r="AB89" s="4"/>
    </row>
    <row r="91" spans="1:206" x14ac:dyDescent="0.2">
      <c r="A91" s="2">
        <v>51</v>
      </c>
      <c r="B91" s="2">
        <f>B20</f>
        <v>1</v>
      </c>
      <c r="C91" s="2">
        <f>A20</f>
        <v>3</v>
      </c>
      <c r="D91" s="2">
        <f>ROW(A20)</f>
        <v>20</v>
      </c>
      <c r="E91" s="2"/>
      <c r="F91" s="2" t="str">
        <f>IF(F20&lt;&gt;"",F20,"")</f>
        <v>Новая локальная смета</v>
      </c>
      <c r="G91" s="2" t="str">
        <f>IF(G20&lt;&gt;"",G20,"")</f>
        <v>Новая локальная смета</v>
      </c>
      <c r="H91" s="2">
        <v>0</v>
      </c>
      <c r="I91" s="2"/>
      <c r="J91" s="2"/>
      <c r="K91" s="2"/>
      <c r="L91" s="2"/>
      <c r="M91" s="2"/>
      <c r="N91" s="2"/>
      <c r="O91" s="2">
        <f t="shared" ref="O91:T91" si="67">ROUND(O51+AB91,0)</f>
        <v>13005</v>
      </c>
      <c r="P91" s="2">
        <f t="shared" si="67"/>
        <v>10850</v>
      </c>
      <c r="Q91" s="2">
        <f t="shared" si="67"/>
        <v>1540</v>
      </c>
      <c r="R91" s="2">
        <f t="shared" si="67"/>
        <v>86</v>
      </c>
      <c r="S91" s="2">
        <f t="shared" si="67"/>
        <v>615</v>
      </c>
      <c r="T91" s="2">
        <f t="shared" si="67"/>
        <v>0</v>
      </c>
      <c r="U91" s="2">
        <f>U51+AH91</f>
        <v>68.476216000000008</v>
      </c>
      <c r="V91" s="2">
        <f>V51+AI91</f>
        <v>5.7678919999999998</v>
      </c>
      <c r="W91" s="2">
        <f>ROUND(W51+AJ91,0)</f>
        <v>0</v>
      </c>
      <c r="X91" s="2">
        <f>ROUND(X51+AK91,0)</f>
        <v>728</v>
      </c>
      <c r="Y91" s="2">
        <f>ROUND(Y51+AL91,0)</f>
        <v>400</v>
      </c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>
        <f t="shared" ref="AO91:BD91" si="68">ROUND(AO51+BX91,0)</f>
        <v>0</v>
      </c>
      <c r="AP91" s="2">
        <f t="shared" si="68"/>
        <v>0</v>
      </c>
      <c r="AQ91" s="2">
        <f t="shared" si="68"/>
        <v>0</v>
      </c>
      <c r="AR91" s="2">
        <f t="shared" si="68"/>
        <v>14133</v>
      </c>
      <c r="AS91" s="2">
        <f t="shared" si="68"/>
        <v>14133</v>
      </c>
      <c r="AT91" s="2">
        <f t="shared" si="68"/>
        <v>0</v>
      </c>
      <c r="AU91" s="2">
        <f t="shared" si="68"/>
        <v>0</v>
      </c>
      <c r="AV91" s="2">
        <f t="shared" si="68"/>
        <v>10850</v>
      </c>
      <c r="AW91" s="2">
        <f t="shared" si="68"/>
        <v>10850</v>
      </c>
      <c r="AX91" s="2">
        <f t="shared" si="68"/>
        <v>0</v>
      </c>
      <c r="AY91" s="2">
        <f t="shared" si="68"/>
        <v>10850</v>
      </c>
      <c r="AZ91" s="2">
        <f t="shared" si="68"/>
        <v>0</v>
      </c>
      <c r="BA91" s="2">
        <f t="shared" si="68"/>
        <v>0</v>
      </c>
      <c r="BB91" s="2">
        <f t="shared" si="68"/>
        <v>0</v>
      </c>
      <c r="BC91" s="2">
        <f t="shared" si="68"/>
        <v>0</v>
      </c>
      <c r="BD91" s="2">
        <f t="shared" si="68"/>
        <v>0</v>
      </c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>
        <v>0</v>
      </c>
    </row>
    <row r="93" spans="1:206" x14ac:dyDescent="0.2">
      <c r="A93" s="4">
        <v>50</v>
      </c>
      <c r="B93" s="4">
        <v>0</v>
      </c>
      <c r="C93" s="4">
        <v>0</v>
      </c>
      <c r="D93" s="4">
        <v>1</v>
      </c>
      <c r="E93" s="4">
        <v>201</v>
      </c>
      <c r="F93" s="4">
        <f>ROUND(Source!O91,O93)</f>
        <v>13005</v>
      </c>
      <c r="G93" s="4" t="s">
        <v>119</v>
      </c>
      <c r="H93" s="4" t="s">
        <v>120</v>
      </c>
      <c r="I93" s="4"/>
      <c r="J93" s="4"/>
      <c r="K93" s="4">
        <v>201</v>
      </c>
      <c r="L93" s="4">
        <v>1</v>
      </c>
      <c r="M93" s="4">
        <v>3</v>
      </c>
      <c r="N93" s="4" t="s">
        <v>3</v>
      </c>
      <c r="O93" s="4">
        <v>0</v>
      </c>
      <c r="P93" s="4"/>
      <c r="Q93" s="4"/>
      <c r="R93" s="4"/>
      <c r="S93" s="4"/>
      <c r="T93" s="4"/>
      <c r="U93" s="4"/>
      <c r="V93" s="4"/>
      <c r="W93" s="4">
        <v>13005</v>
      </c>
      <c r="X93" s="4">
        <v>1</v>
      </c>
      <c r="Y93" s="4">
        <v>140287</v>
      </c>
      <c r="Z93" s="4"/>
      <c r="AA93" s="4"/>
      <c r="AB93" s="4"/>
    </row>
    <row r="94" spans="1:206" x14ac:dyDescent="0.2">
      <c r="A94" s="4">
        <v>50</v>
      </c>
      <c r="B94" s="4">
        <v>0</v>
      </c>
      <c r="C94" s="4">
        <v>0</v>
      </c>
      <c r="D94" s="4">
        <v>1</v>
      </c>
      <c r="E94" s="4">
        <v>202</v>
      </c>
      <c r="F94" s="4">
        <f>ROUND(Source!P91,O94)</f>
        <v>10850</v>
      </c>
      <c r="G94" s="4" t="s">
        <v>121</v>
      </c>
      <c r="H94" s="4" t="s">
        <v>122</v>
      </c>
      <c r="I94" s="4"/>
      <c r="J94" s="4"/>
      <c r="K94" s="4">
        <v>202</v>
      </c>
      <c r="L94" s="4">
        <v>2</v>
      </c>
      <c r="M94" s="4">
        <v>3</v>
      </c>
      <c r="N94" s="4" t="s">
        <v>3</v>
      </c>
      <c r="O94" s="4">
        <v>0</v>
      </c>
      <c r="P94" s="4"/>
      <c r="Q94" s="4"/>
      <c r="R94" s="4"/>
      <c r="S94" s="4"/>
      <c r="T94" s="4"/>
      <c r="U94" s="4"/>
      <c r="V94" s="4"/>
      <c r="W94" s="4">
        <v>10850</v>
      </c>
      <c r="X94" s="4">
        <v>1</v>
      </c>
      <c r="Y94" s="4">
        <v>100905</v>
      </c>
      <c r="Z94" s="4"/>
      <c r="AA94" s="4"/>
      <c r="AB94" s="4"/>
    </row>
    <row r="95" spans="1:206" x14ac:dyDescent="0.2">
      <c r="A95" s="4">
        <v>50</v>
      </c>
      <c r="B95" s="4">
        <v>0</v>
      </c>
      <c r="C95" s="4">
        <v>0</v>
      </c>
      <c r="D95" s="4">
        <v>1</v>
      </c>
      <c r="E95" s="4">
        <v>222</v>
      </c>
      <c r="F95" s="4">
        <f>ROUND(Source!AO91,O95)</f>
        <v>0</v>
      </c>
      <c r="G95" s="4" t="s">
        <v>123</v>
      </c>
      <c r="H95" s="4" t="s">
        <v>124</v>
      </c>
      <c r="I95" s="4"/>
      <c r="J95" s="4"/>
      <c r="K95" s="4">
        <v>222</v>
      </c>
      <c r="L95" s="4">
        <v>3</v>
      </c>
      <c r="M95" s="4">
        <v>3</v>
      </c>
      <c r="N95" s="4" t="s">
        <v>3</v>
      </c>
      <c r="O95" s="4">
        <v>0</v>
      </c>
      <c r="P95" s="4"/>
      <c r="Q95" s="4"/>
      <c r="R95" s="4"/>
      <c r="S95" s="4"/>
      <c r="T95" s="4"/>
      <c r="U95" s="4"/>
      <c r="V95" s="4"/>
      <c r="W95" s="4">
        <v>0</v>
      </c>
      <c r="X95" s="4">
        <v>1</v>
      </c>
      <c r="Y95" s="4">
        <v>0</v>
      </c>
      <c r="Z95" s="4"/>
      <c r="AA95" s="4"/>
      <c r="AB95" s="4"/>
    </row>
    <row r="96" spans="1:206" x14ac:dyDescent="0.2">
      <c r="A96" s="4">
        <v>50</v>
      </c>
      <c r="B96" s="4">
        <v>0</v>
      </c>
      <c r="C96" s="4">
        <v>0</v>
      </c>
      <c r="D96" s="4">
        <v>1</v>
      </c>
      <c r="E96" s="4">
        <v>225</v>
      </c>
      <c r="F96" s="4">
        <f>ROUND(Source!AV91,O96)</f>
        <v>10850</v>
      </c>
      <c r="G96" s="4" t="s">
        <v>125</v>
      </c>
      <c r="H96" s="4" t="s">
        <v>126</v>
      </c>
      <c r="I96" s="4"/>
      <c r="J96" s="4"/>
      <c r="K96" s="4">
        <v>225</v>
      </c>
      <c r="L96" s="4">
        <v>4</v>
      </c>
      <c r="M96" s="4">
        <v>3</v>
      </c>
      <c r="N96" s="4" t="s">
        <v>3</v>
      </c>
      <c r="O96" s="4">
        <v>0</v>
      </c>
      <c r="P96" s="4"/>
      <c r="Q96" s="4"/>
      <c r="R96" s="4"/>
      <c r="S96" s="4"/>
      <c r="T96" s="4"/>
      <c r="U96" s="4"/>
      <c r="V96" s="4"/>
      <c r="W96" s="4">
        <v>10850</v>
      </c>
      <c r="X96" s="4">
        <v>1</v>
      </c>
      <c r="Y96" s="4">
        <v>0</v>
      </c>
      <c r="Z96" s="4"/>
      <c r="AA96" s="4"/>
      <c r="AB96" s="4"/>
    </row>
    <row r="97" spans="1:28" x14ac:dyDescent="0.2">
      <c r="A97" s="4">
        <v>50</v>
      </c>
      <c r="B97" s="4">
        <v>0</v>
      </c>
      <c r="C97" s="4">
        <v>0</v>
      </c>
      <c r="D97" s="4">
        <v>1</v>
      </c>
      <c r="E97" s="4">
        <v>226</v>
      </c>
      <c r="F97" s="4">
        <f>ROUND(Source!AW91,O97)</f>
        <v>10850</v>
      </c>
      <c r="G97" s="4" t="s">
        <v>127</v>
      </c>
      <c r="H97" s="4" t="s">
        <v>128</v>
      </c>
      <c r="I97" s="4"/>
      <c r="J97" s="4"/>
      <c r="K97" s="4">
        <v>226</v>
      </c>
      <c r="L97" s="4">
        <v>5</v>
      </c>
      <c r="M97" s="4">
        <v>3</v>
      </c>
      <c r="N97" s="4" t="s">
        <v>3</v>
      </c>
      <c r="O97" s="4">
        <v>0</v>
      </c>
      <c r="P97" s="4"/>
      <c r="Q97" s="4"/>
      <c r="R97" s="4"/>
      <c r="S97" s="4"/>
      <c r="T97" s="4"/>
      <c r="U97" s="4"/>
      <c r="V97" s="4"/>
      <c r="W97" s="4">
        <v>10850</v>
      </c>
      <c r="X97" s="4">
        <v>1</v>
      </c>
      <c r="Y97" s="4">
        <v>100905</v>
      </c>
      <c r="Z97" s="4"/>
      <c r="AA97" s="4"/>
      <c r="AB97" s="4"/>
    </row>
    <row r="98" spans="1:28" x14ac:dyDescent="0.2">
      <c r="A98" s="4">
        <v>50</v>
      </c>
      <c r="B98" s="4">
        <v>0</v>
      </c>
      <c r="C98" s="4">
        <v>0</v>
      </c>
      <c r="D98" s="4">
        <v>1</v>
      </c>
      <c r="E98" s="4">
        <v>227</v>
      </c>
      <c r="F98" s="4">
        <f>ROUND(Source!AX91,O98)</f>
        <v>0</v>
      </c>
      <c r="G98" s="4" t="s">
        <v>129</v>
      </c>
      <c r="H98" s="4" t="s">
        <v>130</v>
      </c>
      <c r="I98" s="4"/>
      <c r="J98" s="4"/>
      <c r="K98" s="4">
        <v>227</v>
      </c>
      <c r="L98" s="4">
        <v>6</v>
      </c>
      <c r="M98" s="4">
        <v>3</v>
      </c>
      <c r="N98" s="4" t="s">
        <v>3</v>
      </c>
      <c r="O98" s="4">
        <v>0</v>
      </c>
      <c r="P98" s="4"/>
      <c r="Q98" s="4"/>
      <c r="R98" s="4"/>
      <c r="S98" s="4"/>
      <c r="T98" s="4"/>
      <c r="U98" s="4"/>
      <c r="V98" s="4"/>
      <c r="W98" s="4">
        <v>0</v>
      </c>
      <c r="X98" s="4">
        <v>1</v>
      </c>
      <c r="Y98" s="4">
        <v>0</v>
      </c>
      <c r="Z98" s="4"/>
      <c r="AA98" s="4"/>
      <c r="AB98" s="4"/>
    </row>
    <row r="99" spans="1:28" x14ac:dyDescent="0.2">
      <c r="A99" s="4">
        <v>50</v>
      </c>
      <c r="B99" s="4">
        <v>0</v>
      </c>
      <c r="C99" s="4">
        <v>0</v>
      </c>
      <c r="D99" s="4">
        <v>1</v>
      </c>
      <c r="E99" s="4">
        <v>228</v>
      </c>
      <c r="F99" s="4">
        <f>ROUND(Source!AY91,O99)</f>
        <v>10850</v>
      </c>
      <c r="G99" s="4" t="s">
        <v>131</v>
      </c>
      <c r="H99" s="4" t="s">
        <v>132</v>
      </c>
      <c r="I99" s="4"/>
      <c r="J99" s="4"/>
      <c r="K99" s="4">
        <v>228</v>
      </c>
      <c r="L99" s="4">
        <v>7</v>
      </c>
      <c r="M99" s="4">
        <v>3</v>
      </c>
      <c r="N99" s="4" t="s">
        <v>3</v>
      </c>
      <c r="O99" s="4">
        <v>0</v>
      </c>
      <c r="P99" s="4"/>
      <c r="Q99" s="4"/>
      <c r="R99" s="4"/>
      <c r="S99" s="4"/>
      <c r="T99" s="4"/>
      <c r="U99" s="4"/>
      <c r="V99" s="4"/>
      <c r="W99" s="4">
        <v>10850</v>
      </c>
      <c r="X99" s="4">
        <v>1</v>
      </c>
      <c r="Y99" s="4">
        <v>100905</v>
      </c>
      <c r="Z99" s="4"/>
      <c r="AA99" s="4"/>
      <c r="AB99" s="4"/>
    </row>
    <row r="100" spans="1:28" x14ac:dyDescent="0.2">
      <c r="A100" s="4">
        <v>50</v>
      </c>
      <c r="B100" s="4">
        <v>0</v>
      </c>
      <c r="C100" s="4">
        <v>0</v>
      </c>
      <c r="D100" s="4">
        <v>1</v>
      </c>
      <c r="E100" s="4">
        <v>216</v>
      </c>
      <c r="F100" s="4">
        <f>ROUND(Source!AP91,O100)</f>
        <v>0</v>
      </c>
      <c r="G100" s="4" t="s">
        <v>133</v>
      </c>
      <c r="H100" s="4" t="s">
        <v>134</v>
      </c>
      <c r="I100" s="4"/>
      <c r="J100" s="4"/>
      <c r="K100" s="4">
        <v>216</v>
      </c>
      <c r="L100" s="4">
        <v>8</v>
      </c>
      <c r="M100" s="4">
        <v>3</v>
      </c>
      <c r="N100" s="4" t="s">
        <v>3</v>
      </c>
      <c r="O100" s="4">
        <v>0</v>
      </c>
      <c r="P100" s="4"/>
      <c r="Q100" s="4"/>
      <c r="R100" s="4"/>
      <c r="S100" s="4"/>
      <c r="T100" s="4"/>
      <c r="U100" s="4"/>
      <c r="V100" s="4"/>
      <c r="W100" s="4">
        <v>0</v>
      </c>
      <c r="X100" s="4">
        <v>1</v>
      </c>
      <c r="Y100" s="4">
        <v>0</v>
      </c>
      <c r="Z100" s="4"/>
      <c r="AA100" s="4"/>
      <c r="AB100" s="4"/>
    </row>
    <row r="101" spans="1:28" x14ac:dyDescent="0.2">
      <c r="A101" s="4">
        <v>50</v>
      </c>
      <c r="B101" s="4">
        <v>0</v>
      </c>
      <c r="C101" s="4">
        <v>0</v>
      </c>
      <c r="D101" s="4">
        <v>1</v>
      </c>
      <c r="E101" s="4">
        <v>223</v>
      </c>
      <c r="F101" s="4">
        <f>ROUND(Source!AQ91,O101)</f>
        <v>0</v>
      </c>
      <c r="G101" s="4" t="s">
        <v>135</v>
      </c>
      <c r="H101" s="4" t="s">
        <v>136</v>
      </c>
      <c r="I101" s="4"/>
      <c r="J101" s="4"/>
      <c r="K101" s="4">
        <v>223</v>
      </c>
      <c r="L101" s="4">
        <v>9</v>
      </c>
      <c r="M101" s="4">
        <v>3</v>
      </c>
      <c r="N101" s="4" t="s">
        <v>3</v>
      </c>
      <c r="O101" s="4">
        <v>0</v>
      </c>
      <c r="P101" s="4"/>
      <c r="Q101" s="4"/>
      <c r="R101" s="4"/>
      <c r="S101" s="4"/>
      <c r="T101" s="4"/>
      <c r="U101" s="4"/>
      <c r="V101" s="4"/>
      <c r="W101" s="4">
        <v>0</v>
      </c>
      <c r="X101" s="4">
        <v>1</v>
      </c>
      <c r="Y101" s="4">
        <v>0</v>
      </c>
      <c r="Z101" s="4"/>
      <c r="AA101" s="4"/>
      <c r="AB101" s="4"/>
    </row>
    <row r="102" spans="1:28" x14ac:dyDescent="0.2">
      <c r="A102" s="4">
        <v>50</v>
      </c>
      <c r="B102" s="4">
        <v>0</v>
      </c>
      <c r="C102" s="4">
        <v>0</v>
      </c>
      <c r="D102" s="4">
        <v>1</v>
      </c>
      <c r="E102" s="4">
        <v>229</v>
      </c>
      <c r="F102" s="4">
        <f>ROUND(Source!AZ91,O102)</f>
        <v>0</v>
      </c>
      <c r="G102" s="4" t="s">
        <v>137</v>
      </c>
      <c r="H102" s="4" t="s">
        <v>138</v>
      </c>
      <c r="I102" s="4"/>
      <c r="J102" s="4"/>
      <c r="K102" s="4">
        <v>229</v>
      </c>
      <c r="L102" s="4">
        <v>10</v>
      </c>
      <c r="M102" s="4">
        <v>3</v>
      </c>
      <c r="N102" s="4" t="s">
        <v>3</v>
      </c>
      <c r="O102" s="4">
        <v>0</v>
      </c>
      <c r="P102" s="4"/>
      <c r="Q102" s="4"/>
      <c r="R102" s="4"/>
      <c r="S102" s="4"/>
      <c r="T102" s="4"/>
      <c r="U102" s="4"/>
      <c r="V102" s="4"/>
      <c r="W102" s="4">
        <v>0</v>
      </c>
      <c r="X102" s="4">
        <v>1</v>
      </c>
      <c r="Y102" s="4">
        <v>0</v>
      </c>
      <c r="Z102" s="4"/>
      <c r="AA102" s="4"/>
      <c r="AB102" s="4"/>
    </row>
    <row r="103" spans="1:28" x14ac:dyDescent="0.2">
      <c r="A103" s="4">
        <v>50</v>
      </c>
      <c r="B103" s="4">
        <v>0</v>
      </c>
      <c r="C103" s="4">
        <v>0</v>
      </c>
      <c r="D103" s="4">
        <v>1</v>
      </c>
      <c r="E103" s="4">
        <v>203</v>
      </c>
      <c r="F103" s="4">
        <f>ROUND(Source!Q91,O103)</f>
        <v>1540</v>
      </c>
      <c r="G103" s="4" t="s">
        <v>139</v>
      </c>
      <c r="H103" s="4" t="s">
        <v>140</v>
      </c>
      <c r="I103" s="4"/>
      <c r="J103" s="4"/>
      <c r="K103" s="4">
        <v>203</v>
      </c>
      <c r="L103" s="4">
        <v>11</v>
      </c>
      <c r="M103" s="4">
        <v>3</v>
      </c>
      <c r="N103" s="4" t="s">
        <v>3</v>
      </c>
      <c r="O103" s="4">
        <v>0</v>
      </c>
      <c r="P103" s="4"/>
      <c r="Q103" s="4"/>
      <c r="R103" s="4"/>
      <c r="S103" s="4"/>
      <c r="T103" s="4"/>
      <c r="U103" s="4"/>
      <c r="V103" s="4"/>
      <c r="W103" s="4">
        <v>1540</v>
      </c>
      <c r="X103" s="4">
        <v>1</v>
      </c>
      <c r="Y103" s="4">
        <v>19142</v>
      </c>
      <c r="Z103" s="4"/>
      <c r="AA103" s="4"/>
      <c r="AB103" s="4"/>
    </row>
    <row r="104" spans="1:28" x14ac:dyDescent="0.2">
      <c r="A104" s="4">
        <v>50</v>
      </c>
      <c r="B104" s="4">
        <v>0</v>
      </c>
      <c r="C104" s="4">
        <v>0</v>
      </c>
      <c r="D104" s="4">
        <v>1</v>
      </c>
      <c r="E104" s="4">
        <v>231</v>
      </c>
      <c r="F104" s="4">
        <f>ROUND(Source!BB91,O104)</f>
        <v>0</v>
      </c>
      <c r="G104" s="4" t="s">
        <v>141</v>
      </c>
      <c r="H104" s="4" t="s">
        <v>142</v>
      </c>
      <c r="I104" s="4"/>
      <c r="J104" s="4"/>
      <c r="K104" s="4">
        <v>231</v>
      </c>
      <c r="L104" s="4">
        <v>12</v>
      </c>
      <c r="M104" s="4">
        <v>3</v>
      </c>
      <c r="N104" s="4" t="s">
        <v>3</v>
      </c>
      <c r="O104" s="4">
        <v>0</v>
      </c>
      <c r="P104" s="4"/>
      <c r="Q104" s="4"/>
      <c r="R104" s="4"/>
      <c r="S104" s="4"/>
      <c r="T104" s="4"/>
      <c r="U104" s="4"/>
      <c r="V104" s="4"/>
      <c r="W104" s="4">
        <v>0</v>
      </c>
      <c r="X104" s="4">
        <v>1</v>
      </c>
      <c r="Y104" s="4">
        <v>0</v>
      </c>
      <c r="Z104" s="4"/>
      <c r="AA104" s="4"/>
      <c r="AB104" s="4"/>
    </row>
    <row r="105" spans="1:28" x14ac:dyDescent="0.2">
      <c r="A105" s="4">
        <v>50</v>
      </c>
      <c r="B105" s="4">
        <v>0</v>
      </c>
      <c r="C105" s="4">
        <v>0</v>
      </c>
      <c r="D105" s="4">
        <v>1</v>
      </c>
      <c r="E105" s="4">
        <v>204</v>
      </c>
      <c r="F105" s="4">
        <f>ROUND(Source!R91,O105)</f>
        <v>86</v>
      </c>
      <c r="G105" s="4" t="s">
        <v>143</v>
      </c>
      <c r="H105" s="4" t="s">
        <v>144</v>
      </c>
      <c r="I105" s="4"/>
      <c r="J105" s="4"/>
      <c r="K105" s="4">
        <v>204</v>
      </c>
      <c r="L105" s="4">
        <v>13</v>
      </c>
      <c r="M105" s="4">
        <v>3</v>
      </c>
      <c r="N105" s="4" t="s">
        <v>3</v>
      </c>
      <c r="O105" s="4">
        <v>0</v>
      </c>
      <c r="P105" s="4"/>
      <c r="Q105" s="4"/>
      <c r="R105" s="4"/>
      <c r="S105" s="4"/>
      <c r="T105" s="4"/>
      <c r="U105" s="4"/>
      <c r="V105" s="4"/>
      <c r="W105" s="4">
        <v>86</v>
      </c>
      <c r="X105" s="4">
        <v>1</v>
      </c>
      <c r="Y105" s="4">
        <v>2830</v>
      </c>
      <c r="Z105" s="4"/>
      <c r="AA105" s="4"/>
      <c r="AB105" s="4"/>
    </row>
    <row r="106" spans="1:28" x14ac:dyDescent="0.2">
      <c r="A106" s="4">
        <v>50</v>
      </c>
      <c r="B106" s="4">
        <v>0</v>
      </c>
      <c r="C106" s="4">
        <v>0</v>
      </c>
      <c r="D106" s="4">
        <v>1</v>
      </c>
      <c r="E106" s="4">
        <v>205</v>
      </c>
      <c r="F106" s="4">
        <f>ROUND(Source!S91,O106)</f>
        <v>615</v>
      </c>
      <c r="G106" s="4" t="s">
        <v>145</v>
      </c>
      <c r="H106" s="4" t="s">
        <v>146</v>
      </c>
      <c r="I106" s="4"/>
      <c r="J106" s="4"/>
      <c r="K106" s="4">
        <v>205</v>
      </c>
      <c r="L106" s="4">
        <v>14</v>
      </c>
      <c r="M106" s="4">
        <v>3</v>
      </c>
      <c r="N106" s="4" t="s">
        <v>3</v>
      </c>
      <c r="O106" s="4">
        <v>0</v>
      </c>
      <c r="P106" s="4"/>
      <c r="Q106" s="4"/>
      <c r="R106" s="4"/>
      <c r="S106" s="4"/>
      <c r="T106" s="4"/>
      <c r="U106" s="4"/>
      <c r="V106" s="4"/>
      <c r="W106" s="4">
        <v>615</v>
      </c>
      <c r="X106" s="4">
        <v>1</v>
      </c>
      <c r="Y106" s="4">
        <v>20240</v>
      </c>
      <c r="Z106" s="4"/>
      <c r="AA106" s="4"/>
      <c r="AB106" s="4"/>
    </row>
    <row r="107" spans="1:28" x14ac:dyDescent="0.2">
      <c r="A107" s="4">
        <v>50</v>
      </c>
      <c r="B107" s="4">
        <v>0</v>
      </c>
      <c r="C107" s="4">
        <v>0</v>
      </c>
      <c r="D107" s="4">
        <v>1</v>
      </c>
      <c r="E107" s="4">
        <v>232</v>
      </c>
      <c r="F107" s="4">
        <f>ROUND(Source!BC91,O107)</f>
        <v>0</v>
      </c>
      <c r="G107" s="4" t="s">
        <v>147</v>
      </c>
      <c r="H107" s="4" t="s">
        <v>148</v>
      </c>
      <c r="I107" s="4"/>
      <c r="J107" s="4"/>
      <c r="K107" s="4">
        <v>232</v>
      </c>
      <c r="L107" s="4">
        <v>15</v>
      </c>
      <c r="M107" s="4">
        <v>3</v>
      </c>
      <c r="N107" s="4" t="s">
        <v>3</v>
      </c>
      <c r="O107" s="4">
        <v>0</v>
      </c>
      <c r="P107" s="4"/>
      <c r="Q107" s="4"/>
      <c r="R107" s="4"/>
      <c r="S107" s="4"/>
      <c r="T107" s="4"/>
      <c r="U107" s="4"/>
      <c r="V107" s="4"/>
      <c r="W107" s="4">
        <v>0</v>
      </c>
      <c r="X107" s="4">
        <v>1</v>
      </c>
      <c r="Y107" s="4">
        <v>0</v>
      </c>
      <c r="Z107" s="4"/>
      <c r="AA107" s="4"/>
      <c r="AB107" s="4"/>
    </row>
    <row r="108" spans="1:28" x14ac:dyDescent="0.2">
      <c r="A108" s="4">
        <v>50</v>
      </c>
      <c r="B108" s="4">
        <v>0</v>
      </c>
      <c r="C108" s="4">
        <v>0</v>
      </c>
      <c r="D108" s="4">
        <v>1</v>
      </c>
      <c r="E108" s="4">
        <v>214</v>
      </c>
      <c r="F108" s="4">
        <f>ROUND(Source!AS91,O108)</f>
        <v>14133</v>
      </c>
      <c r="G108" s="4" t="s">
        <v>149</v>
      </c>
      <c r="H108" s="4" t="s">
        <v>150</v>
      </c>
      <c r="I108" s="4"/>
      <c r="J108" s="4"/>
      <c r="K108" s="4">
        <v>214</v>
      </c>
      <c r="L108" s="4">
        <v>16</v>
      </c>
      <c r="M108" s="4">
        <v>3</v>
      </c>
      <c r="N108" s="4" t="s">
        <v>3</v>
      </c>
      <c r="O108" s="4">
        <v>0</v>
      </c>
      <c r="P108" s="4"/>
      <c r="Q108" s="4"/>
      <c r="R108" s="4"/>
      <c r="S108" s="4"/>
      <c r="T108" s="4"/>
      <c r="U108" s="4"/>
      <c r="V108" s="4"/>
      <c r="W108" s="4">
        <v>14133</v>
      </c>
      <c r="X108" s="4">
        <v>1</v>
      </c>
      <c r="Y108" s="4">
        <v>177439</v>
      </c>
      <c r="Z108" s="4"/>
      <c r="AA108" s="4"/>
      <c r="AB108" s="4"/>
    </row>
    <row r="109" spans="1:28" x14ac:dyDescent="0.2">
      <c r="A109" s="4">
        <v>50</v>
      </c>
      <c r="B109" s="4">
        <v>0</v>
      </c>
      <c r="C109" s="4">
        <v>0</v>
      </c>
      <c r="D109" s="4">
        <v>1</v>
      </c>
      <c r="E109" s="4">
        <v>215</v>
      </c>
      <c r="F109" s="4">
        <f>ROUND(Source!AT91,O109)</f>
        <v>0</v>
      </c>
      <c r="G109" s="4" t="s">
        <v>151</v>
      </c>
      <c r="H109" s="4" t="s">
        <v>152</v>
      </c>
      <c r="I109" s="4"/>
      <c r="J109" s="4"/>
      <c r="K109" s="4">
        <v>215</v>
      </c>
      <c r="L109" s="4">
        <v>17</v>
      </c>
      <c r="M109" s="4">
        <v>3</v>
      </c>
      <c r="N109" s="4" t="s">
        <v>3</v>
      </c>
      <c r="O109" s="4">
        <v>0</v>
      </c>
      <c r="P109" s="4"/>
      <c r="Q109" s="4"/>
      <c r="R109" s="4"/>
      <c r="S109" s="4"/>
      <c r="T109" s="4"/>
      <c r="U109" s="4"/>
      <c r="V109" s="4"/>
      <c r="W109" s="4">
        <v>0</v>
      </c>
      <c r="X109" s="4">
        <v>1</v>
      </c>
      <c r="Y109" s="4">
        <v>0</v>
      </c>
      <c r="Z109" s="4"/>
      <c r="AA109" s="4"/>
      <c r="AB109" s="4"/>
    </row>
    <row r="110" spans="1:28" x14ac:dyDescent="0.2">
      <c r="A110" s="4">
        <v>50</v>
      </c>
      <c r="B110" s="4">
        <v>0</v>
      </c>
      <c r="C110" s="4">
        <v>0</v>
      </c>
      <c r="D110" s="4">
        <v>1</v>
      </c>
      <c r="E110" s="4">
        <v>217</v>
      </c>
      <c r="F110" s="4">
        <f>ROUND(Source!AU91,O110)</f>
        <v>0</v>
      </c>
      <c r="G110" s="4" t="s">
        <v>153</v>
      </c>
      <c r="H110" s="4" t="s">
        <v>154</v>
      </c>
      <c r="I110" s="4"/>
      <c r="J110" s="4"/>
      <c r="K110" s="4">
        <v>217</v>
      </c>
      <c r="L110" s="4">
        <v>18</v>
      </c>
      <c r="M110" s="4">
        <v>3</v>
      </c>
      <c r="N110" s="4" t="s">
        <v>3</v>
      </c>
      <c r="O110" s="4">
        <v>0</v>
      </c>
      <c r="P110" s="4"/>
      <c r="Q110" s="4"/>
      <c r="R110" s="4"/>
      <c r="S110" s="4"/>
      <c r="T110" s="4"/>
      <c r="U110" s="4"/>
      <c r="V110" s="4"/>
      <c r="W110" s="4">
        <v>0</v>
      </c>
      <c r="X110" s="4">
        <v>1</v>
      </c>
      <c r="Y110" s="4">
        <v>0</v>
      </c>
      <c r="Z110" s="4"/>
      <c r="AA110" s="4"/>
      <c r="AB110" s="4"/>
    </row>
    <row r="111" spans="1:28" x14ac:dyDescent="0.2">
      <c r="A111" s="4">
        <v>50</v>
      </c>
      <c r="B111" s="4">
        <v>0</v>
      </c>
      <c r="C111" s="4">
        <v>0</v>
      </c>
      <c r="D111" s="4">
        <v>1</v>
      </c>
      <c r="E111" s="4">
        <v>230</v>
      </c>
      <c r="F111" s="4">
        <f>ROUND(Source!BA91,O111)</f>
        <v>0</v>
      </c>
      <c r="G111" s="4" t="s">
        <v>155</v>
      </c>
      <c r="H111" s="4" t="s">
        <v>156</v>
      </c>
      <c r="I111" s="4"/>
      <c r="J111" s="4"/>
      <c r="K111" s="4">
        <v>230</v>
      </c>
      <c r="L111" s="4">
        <v>19</v>
      </c>
      <c r="M111" s="4">
        <v>3</v>
      </c>
      <c r="N111" s="4" t="s">
        <v>3</v>
      </c>
      <c r="O111" s="4">
        <v>0</v>
      </c>
      <c r="P111" s="4"/>
      <c r="Q111" s="4"/>
      <c r="R111" s="4"/>
      <c r="S111" s="4"/>
      <c r="T111" s="4"/>
      <c r="U111" s="4"/>
      <c r="V111" s="4"/>
      <c r="W111" s="4">
        <v>0</v>
      </c>
      <c r="X111" s="4">
        <v>1</v>
      </c>
      <c r="Y111" s="4">
        <v>0</v>
      </c>
      <c r="Z111" s="4"/>
      <c r="AA111" s="4"/>
      <c r="AB111" s="4"/>
    </row>
    <row r="112" spans="1:28" x14ac:dyDescent="0.2">
      <c r="A112" s="4">
        <v>50</v>
      </c>
      <c r="B112" s="4">
        <v>0</v>
      </c>
      <c r="C112" s="4">
        <v>0</v>
      </c>
      <c r="D112" s="4">
        <v>1</v>
      </c>
      <c r="E112" s="4">
        <v>206</v>
      </c>
      <c r="F112" s="4">
        <f>ROUND(Source!T91,O112)</f>
        <v>0</v>
      </c>
      <c r="G112" s="4" t="s">
        <v>157</v>
      </c>
      <c r="H112" s="4" t="s">
        <v>158</v>
      </c>
      <c r="I112" s="4"/>
      <c r="J112" s="4"/>
      <c r="K112" s="4">
        <v>206</v>
      </c>
      <c r="L112" s="4">
        <v>20</v>
      </c>
      <c r="M112" s="4">
        <v>3</v>
      </c>
      <c r="N112" s="4" t="s">
        <v>3</v>
      </c>
      <c r="O112" s="4">
        <v>0</v>
      </c>
      <c r="P112" s="4"/>
      <c r="Q112" s="4"/>
      <c r="R112" s="4"/>
      <c r="S112" s="4"/>
      <c r="T112" s="4"/>
      <c r="U112" s="4"/>
      <c r="V112" s="4"/>
      <c r="W112" s="4">
        <v>0</v>
      </c>
      <c r="X112" s="4">
        <v>1</v>
      </c>
      <c r="Y112" s="4">
        <v>0</v>
      </c>
      <c r="Z112" s="4"/>
      <c r="AA112" s="4"/>
      <c r="AB112" s="4"/>
    </row>
    <row r="113" spans="1:206" x14ac:dyDescent="0.2">
      <c r="A113" s="4">
        <v>50</v>
      </c>
      <c r="B113" s="4">
        <v>0</v>
      </c>
      <c r="C113" s="4">
        <v>0</v>
      </c>
      <c r="D113" s="4">
        <v>1</v>
      </c>
      <c r="E113" s="4">
        <v>207</v>
      </c>
      <c r="F113" s="4">
        <f>Source!U91</f>
        <v>68.476216000000008</v>
      </c>
      <c r="G113" s="4" t="s">
        <v>159</v>
      </c>
      <c r="H113" s="4" t="s">
        <v>160</v>
      </c>
      <c r="I113" s="4"/>
      <c r="J113" s="4"/>
      <c r="K113" s="4">
        <v>207</v>
      </c>
      <c r="L113" s="4">
        <v>21</v>
      </c>
      <c r="M113" s="4">
        <v>3</v>
      </c>
      <c r="N113" s="4" t="s">
        <v>3</v>
      </c>
      <c r="O113" s="4">
        <v>-1</v>
      </c>
      <c r="P113" s="4"/>
      <c r="Q113" s="4"/>
      <c r="R113" s="4"/>
      <c r="S113" s="4"/>
      <c r="T113" s="4"/>
      <c r="U113" s="4"/>
      <c r="V113" s="4"/>
      <c r="W113" s="4">
        <v>68.476215999999994</v>
      </c>
      <c r="X113" s="4">
        <v>1</v>
      </c>
      <c r="Y113" s="4">
        <v>68.476215999999994</v>
      </c>
      <c r="Z113" s="4"/>
      <c r="AA113" s="4"/>
      <c r="AB113" s="4"/>
    </row>
    <row r="114" spans="1:206" x14ac:dyDescent="0.2">
      <c r="A114" s="4">
        <v>50</v>
      </c>
      <c r="B114" s="4">
        <v>0</v>
      </c>
      <c r="C114" s="4">
        <v>0</v>
      </c>
      <c r="D114" s="4">
        <v>1</v>
      </c>
      <c r="E114" s="4">
        <v>208</v>
      </c>
      <c r="F114" s="4">
        <f>Source!V91</f>
        <v>5.7678919999999998</v>
      </c>
      <c r="G114" s="4" t="s">
        <v>161</v>
      </c>
      <c r="H114" s="4" t="s">
        <v>162</v>
      </c>
      <c r="I114" s="4"/>
      <c r="J114" s="4"/>
      <c r="K114" s="4">
        <v>208</v>
      </c>
      <c r="L114" s="4">
        <v>22</v>
      </c>
      <c r="M114" s="4">
        <v>3</v>
      </c>
      <c r="N114" s="4" t="s">
        <v>3</v>
      </c>
      <c r="O114" s="4">
        <v>-1</v>
      </c>
      <c r="P114" s="4"/>
      <c r="Q114" s="4"/>
      <c r="R114" s="4"/>
      <c r="S114" s="4"/>
      <c r="T114" s="4"/>
      <c r="U114" s="4"/>
      <c r="V114" s="4"/>
      <c r="W114" s="4">
        <v>5.7678919999999998</v>
      </c>
      <c r="X114" s="4">
        <v>1</v>
      </c>
      <c r="Y114" s="4">
        <v>5.7678919999999998</v>
      </c>
      <c r="Z114" s="4"/>
      <c r="AA114" s="4"/>
      <c r="AB114" s="4"/>
    </row>
    <row r="115" spans="1:206" x14ac:dyDescent="0.2">
      <c r="A115" s="4">
        <v>50</v>
      </c>
      <c r="B115" s="4">
        <v>0</v>
      </c>
      <c r="C115" s="4">
        <v>0</v>
      </c>
      <c r="D115" s="4">
        <v>1</v>
      </c>
      <c r="E115" s="4">
        <v>209</v>
      </c>
      <c r="F115" s="4">
        <f>ROUND(Source!W91,O115)</f>
        <v>0</v>
      </c>
      <c r="G115" s="4" t="s">
        <v>163</v>
      </c>
      <c r="H115" s="4" t="s">
        <v>164</v>
      </c>
      <c r="I115" s="4"/>
      <c r="J115" s="4"/>
      <c r="K115" s="4">
        <v>209</v>
      </c>
      <c r="L115" s="4">
        <v>23</v>
      </c>
      <c r="M115" s="4">
        <v>3</v>
      </c>
      <c r="N115" s="4" t="s">
        <v>3</v>
      </c>
      <c r="O115" s="4">
        <v>0</v>
      </c>
      <c r="P115" s="4"/>
      <c r="Q115" s="4"/>
      <c r="R115" s="4"/>
      <c r="S115" s="4"/>
      <c r="T115" s="4"/>
      <c r="U115" s="4"/>
      <c r="V115" s="4"/>
      <c r="W115" s="4">
        <v>0</v>
      </c>
      <c r="X115" s="4">
        <v>1</v>
      </c>
      <c r="Y115" s="4">
        <v>0</v>
      </c>
      <c r="Z115" s="4"/>
      <c r="AA115" s="4"/>
      <c r="AB115" s="4"/>
    </row>
    <row r="116" spans="1:206" x14ac:dyDescent="0.2">
      <c r="A116" s="4">
        <v>50</v>
      </c>
      <c r="B116" s="4">
        <v>0</v>
      </c>
      <c r="C116" s="4">
        <v>0</v>
      </c>
      <c r="D116" s="4">
        <v>1</v>
      </c>
      <c r="E116" s="4">
        <v>233</v>
      </c>
      <c r="F116" s="4">
        <f>ROUND(Source!BD91,O116)</f>
        <v>0</v>
      </c>
      <c r="G116" s="4" t="s">
        <v>165</v>
      </c>
      <c r="H116" s="4" t="s">
        <v>166</v>
      </c>
      <c r="I116" s="4"/>
      <c r="J116" s="4"/>
      <c r="K116" s="4">
        <v>233</v>
      </c>
      <c r="L116" s="4">
        <v>24</v>
      </c>
      <c r="M116" s="4">
        <v>3</v>
      </c>
      <c r="N116" s="4" t="s">
        <v>3</v>
      </c>
      <c r="O116" s="4">
        <v>0</v>
      </c>
      <c r="P116" s="4"/>
      <c r="Q116" s="4"/>
      <c r="R116" s="4"/>
      <c r="S116" s="4"/>
      <c r="T116" s="4"/>
      <c r="U116" s="4"/>
      <c r="V116" s="4"/>
      <c r="W116" s="4">
        <v>0</v>
      </c>
      <c r="X116" s="4">
        <v>1</v>
      </c>
      <c r="Y116" s="4">
        <v>0</v>
      </c>
      <c r="Z116" s="4"/>
      <c r="AA116" s="4"/>
      <c r="AB116" s="4"/>
    </row>
    <row r="117" spans="1:206" x14ac:dyDescent="0.2">
      <c r="A117" s="4">
        <v>50</v>
      </c>
      <c r="B117" s="4">
        <v>0</v>
      </c>
      <c r="C117" s="4">
        <v>0</v>
      </c>
      <c r="D117" s="4">
        <v>1</v>
      </c>
      <c r="E117" s="4">
        <v>210</v>
      </c>
      <c r="F117" s="4">
        <f>ROUND(Source!X91,O117)</f>
        <v>728</v>
      </c>
      <c r="G117" s="4" t="s">
        <v>167</v>
      </c>
      <c r="H117" s="4" t="s">
        <v>168</v>
      </c>
      <c r="I117" s="4"/>
      <c r="J117" s="4"/>
      <c r="K117" s="4">
        <v>210</v>
      </c>
      <c r="L117" s="4">
        <v>25</v>
      </c>
      <c r="M117" s="4">
        <v>3</v>
      </c>
      <c r="N117" s="4" t="s">
        <v>3</v>
      </c>
      <c r="O117" s="4">
        <v>0</v>
      </c>
      <c r="P117" s="4"/>
      <c r="Q117" s="4"/>
      <c r="R117" s="4"/>
      <c r="S117" s="4"/>
      <c r="T117" s="4"/>
      <c r="U117" s="4"/>
      <c r="V117" s="4"/>
      <c r="W117" s="4">
        <v>728</v>
      </c>
      <c r="X117" s="4">
        <v>1</v>
      </c>
      <c r="Y117" s="4">
        <v>23986</v>
      </c>
      <c r="Z117" s="4"/>
      <c r="AA117" s="4"/>
      <c r="AB117" s="4"/>
    </row>
    <row r="118" spans="1:206" x14ac:dyDescent="0.2">
      <c r="A118" s="4">
        <v>50</v>
      </c>
      <c r="B118" s="4">
        <v>0</v>
      </c>
      <c r="C118" s="4">
        <v>0</v>
      </c>
      <c r="D118" s="4">
        <v>1</v>
      </c>
      <c r="E118" s="4">
        <v>211</v>
      </c>
      <c r="F118" s="4">
        <f>ROUND(Source!Y91,O118)</f>
        <v>400</v>
      </c>
      <c r="G118" s="4" t="s">
        <v>169</v>
      </c>
      <c r="H118" s="4" t="s">
        <v>170</v>
      </c>
      <c r="I118" s="4"/>
      <c r="J118" s="4"/>
      <c r="K118" s="4">
        <v>211</v>
      </c>
      <c r="L118" s="4">
        <v>26</v>
      </c>
      <c r="M118" s="4">
        <v>3</v>
      </c>
      <c r="N118" s="4" t="s">
        <v>3</v>
      </c>
      <c r="O118" s="4">
        <v>0</v>
      </c>
      <c r="P118" s="4"/>
      <c r="Q118" s="4"/>
      <c r="R118" s="4"/>
      <c r="S118" s="4"/>
      <c r="T118" s="4"/>
      <c r="U118" s="4"/>
      <c r="V118" s="4"/>
      <c r="W118" s="4">
        <v>400</v>
      </c>
      <c r="X118" s="4">
        <v>1</v>
      </c>
      <c r="Y118" s="4">
        <v>13166</v>
      </c>
      <c r="Z118" s="4"/>
      <c r="AA118" s="4"/>
      <c r="AB118" s="4"/>
    </row>
    <row r="119" spans="1:206" x14ac:dyDescent="0.2">
      <c r="A119" s="4">
        <v>50</v>
      </c>
      <c r="B119" s="4">
        <v>0</v>
      </c>
      <c r="C119" s="4">
        <v>0</v>
      </c>
      <c r="D119" s="4">
        <v>1</v>
      </c>
      <c r="E119" s="4">
        <v>224</v>
      </c>
      <c r="F119" s="4">
        <f>ROUND(Source!AR91,O119)</f>
        <v>14133</v>
      </c>
      <c r="G119" s="4" t="s">
        <v>171</v>
      </c>
      <c r="H119" s="4" t="s">
        <v>172</v>
      </c>
      <c r="I119" s="4"/>
      <c r="J119" s="4"/>
      <c r="K119" s="4">
        <v>224</v>
      </c>
      <c r="L119" s="4">
        <v>27</v>
      </c>
      <c r="M119" s="4">
        <v>3</v>
      </c>
      <c r="N119" s="4" t="s">
        <v>3</v>
      </c>
      <c r="O119" s="4">
        <v>0</v>
      </c>
      <c r="P119" s="4"/>
      <c r="Q119" s="4"/>
      <c r="R119" s="4"/>
      <c r="S119" s="4"/>
      <c r="T119" s="4"/>
      <c r="U119" s="4"/>
      <c r="V119" s="4"/>
      <c r="W119" s="4">
        <v>14133</v>
      </c>
      <c r="X119" s="4">
        <v>1</v>
      </c>
      <c r="Y119" s="4">
        <v>177439</v>
      </c>
      <c r="Z119" s="4"/>
      <c r="AA119" s="4"/>
      <c r="AB119" s="4"/>
    </row>
    <row r="120" spans="1:206" x14ac:dyDescent="0.2">
      <c r="A120" s="4">
        <v>50</v>
      </c>
      <c r="B120" s="4">
        <v>1</v>
      </c>
      <c r="C120" s="4">
        <v>0</v>
      </c>
      <c r="D120" s="4">
        <v>2</v>
      </c>
      <c r="E120" s="4">
        <v>0</v>
      </c>
      <c r="F120" s="4">
        <f>ROUND(F119*0.2,O120)</f>
        <v>2826.6</v>
      </c>
      <c r="G120" s="4" t="s">
        <v>186</v>
      </c>
      <c r="H120" s="4" t="s">
        <v>187</v>
      </c>
      <c r="I120" s="4"/>
      <c r="J120" s="4"/>
      <c r="K120" s="4">
        <v>212</v>
      </c>
      <c r="L120" s="4">
        <v>28</v>
      </c>
      <c r="M120" s="4">
        <v>0</v>
      </c>
      <c r="N120" s="4" t="s">
        <v>190</v>
      </c>
      <c r="O120" s="4">
        <v>2</v>
      </c>
      <c r="P120" s="4"/>
      <c r="Q120" s="4"/>
      <c r="R120" s="4"/>
      <c r="S120" s="4"/>
      <c r="T120" s="4"/>
      <c r="U120" s="4"/>
      <c r="V120" s="4"/>
      <c r="W120" s="4">
        <v>2827</v>
      </c>
      <c r="X120" s="4">
        <v>1</v>
      </c>
      <c r="Y120" s="4">
        <v>35488</v>
      </c>
      <c r="Z120" s="4"/>
      <c r="AA120" s="4"/>
      <c r="AB120" s="4"/>
    </row>
    <row r="121" spans="1:206" x14ac:dyDescent="0.2">
      <c r="A121" s="4">
        <v>50</v>
      </c>
      <c r="B121" s="4">
        <v>1</v>
      </c>
      <c r="C121" s="4">
        <v>0</v>
      </c>
      <c r="D121" s="4">
        <v>2</v>
      </c>
      <c r="E121" s="4">
        <v>213</v>
      </c>
      <c r="F121" s="4">
        <f>ROUND(F119+F120,O121)</f>
        <v>16959.599999999999</v>
      </c>
      <c r="G121" s="4" t="s">
        <v>191</v>
      </c>
      <c r="H121" s="4" t="s">
        <v>192</v>
      </c>
      <c r="I121" s="4"/>
      <c r="J121" s="4"/>
      <c r="K121" s="4">
        <v>212</v>
      </c>
      <c r="L121" s="4">
        <v>29</v>
      </c>
      <c r="M121" s="4">
        <v>0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>
        <v>16960</v>
      </c>
      <c r="X121" s="4">
        <v>1</v>
      </c>
      <c r="Y121" s="4">
        <v>212927</v>
      </c>
      <c r="Z121" s="4"/>
      <c r="AA121" s="4"/>
      <c r="AB121" s="4"/>
    </row>
    <row r="123" spans="1:206" x14ac:dyDescent="0.2">
      <c r="A123" s="2">
        <v>51</v>
      </c>
      <c r="B123" s="2">
        <f>B12</f>
        <v>177</v>
      </c>
      <c r="C123" s="2">
        <f>A12</f>
        <v>1</v>
      </c>
      <c r="D123" s="2">
        <f>ROW(A12)</f>
        <v>12</v>
      </c>
      <c r="E123" s="2"/>
      <c r="F123" s="2" t="str">
        <f>IF(F12&lt;&gt;"",F12,"")</f>
        <v>Новый объект_(Копия)_(Копия)_(Копия)_(Копия)_(Копия)_(Копия)_(Копия)</v>
      </c>
      <c r="G123" s="2" t="str">
        <f>IF(G12&lt;&gt;"",G12,"")</f>
        <v>Благоустройство детского парка в д. Ильдубайкино</v>
      </c>
      <c r="H123" s="2">
        <v>0</v>
      </c>
      <c r="I123" s="2"/>
      <c r="J123" s="2"/>
      <c r="K123" s="2"/>
      <c r="L123" s="2"/>
      <c r="M123" s="2"/>
      <c r="N123" s="2"/>
      <c r="O123" s="2">
        <f t="shared" ref="O123:T123" si="69">ROUND(O91,0)</f>
        <v>13005</v>
      </c>
      <c r="P123" s="2">
        <f t="shared" si="69"/>
        <v>10850</v>
      </c>
      <c r="Q123" s="2">
        <f t="shared" si="69"/>
        <v>1540</v>
      </c>
      <c r="R123" s="2">
        <f t="shared" si="69"/>
        <v>86</v>
      </c>
      <c r="S123" s="2">
        <f t="shared" si="69"/>
        <v>615</v>
      </c>
      <c r="T123" s="2">
        <f t="shared" si="69"/>
        <v>0</v>
      </c>
      <c r="U123" s="2">
        <f>U91</f>
        <v>68.476216000000008</v>
      </c>
      <c r="V123" s="2">
        <f>V91</f>
        <v>5.7678919999999998</v>
      </c>
      <c r="W123" s="2">
        <f>ROUND(W91,0)</f>
        <v>0</v>
      </c>
      <c r="X123" s="2">
        <f>ROUND(X91,0)</f>
        <v>728</v>
      </c>
      <c r="Y123" s="2">
        <f>ROUND(Y91,0)</f>
        <v>400</v>
      </c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>
        <f t="shared" ref="AO123:BD123" si="70">ROUND(AO91,0)</f>
        <v>0</v>
      </c>
      <c r="AP123" s="2">
        <f t="shared" si="70"/>
        <v>0</v>
      </c>
      <c r="AQ123" s="2">
        <f t="shared" si="70"/>
        <v>0</v>
      </c>
      <c r="AR123" s="2">
        <f t="shared" si="70"/>
        <v>14133</v>
      </c>
      <c r="AS123" s="2">
        <f t="shared" si="70"/>
        <v>14133</v>
      </c>
      <c r="AT123" s="2">
        <f t="shared" si="70"/>
        <v>0</v>
      </c>
      <c r="AU123" s="2">
        <f t="shared" si="70"/>
        <v>0</v>
      </c>
      <c r="AV123" s="2">
        <f t="shared" si="70"/>
        <v>10850</v>
      </c>
      <c r="AW123" s="2">
        <f t="shared" si="70"/>
        <v>10850</v>
      </c>
      <c r="AX123" s="2">
        <f t="shared" si="70"/>
        <v>0</v>
      </c>
      <c r="AY123" s="2">
        <f t="shared" si="70"/>
        <v>10850</v>
      </c>
      <c r="AZ123" s="2">
        <f t="shared" si="70"/>
        <v>0</v>
      </c>
      <c r="BA123" s="2">
        <f t="shared" si="70"/>
        <v>0</v>
      </c>
      <c r="BB123" s="2">
        <f t="shared" si="70"/>
        <v>0</v>
      </c>
      <c r="BC123" s="2">
        <f t="shared" si="70"/>
        <v>0</v>
      </c>
      <c r="BD123" s="2">
        <f t="shared" si="70"/>
        <v>0</v>
      </c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>
        <v>0</v>
      </c>
    </row>
    <row r="125" spans="1:206" x14ac:dyDescent="0.2">
      <c r="A125" s="4">
        <v>50</v>
      </c>
      <c r="B125" s="4">
        <v>0</v>
      </c>
      <c r="C125" s="4">
        <v>0</v>
      </c>
      <c r="D125" s="4">
        <v>1</v>
      </c>
      <c r="E125" s="4">
        <v>201</v>
      </c>
      <c r="F125" s="4">
        <f>ROUND(Source!O123,O125)</f>
        <v>13005</v>
      </c>
      <c r="G125" s="4" t="s">
        <v>119</v>
      </c>
      <c r="H125" s="4" t="s">
        <v>120</v>
      </c>
      <c r="I125" s="4"/>
      <c r="J125" s="4"/>
      <c r="K125" s="4">
        <v>201</v>
      </c>
      <c r="L125" s="4">
        <v>1</v>
      </c>
      <c r="M125" s="4">
        <v>3</v>
      </c>
      <c r="N125" s="4" t="s">
        <v>3</v>
      </c>
      <c r="O125" s="4">
        <v>0</v>
      </c>
      <c r="P125" s="4"/>
      <c r="Q125" s="4"/>
      <c r="R125" s="4"/>
      <c r="S125" s="4"/>
      <c r="T125" s="4"/>
      <c r="U125" s="4"/>
      <c r="V125" s="4"/>
      <c r="W125" s="4">
        <v>13005</v>
      </c>
      <c r="X125" s="4">
        <v>1</v>
      </c>
      <c r="Y125" s="4">
        <v>140287</v>
      </c>
      <c r="Z125" s="4"/>
      <c r="AA125" s="4"/>
      <c r="AB125" s="4"/>
    </row>
    <row r="126" spans="1:206" x14ac:dyDescent="0.2">
      <c r="A126" s="4">
        <v>50</v>
      </c>
      <c r="B126" s="4">
        <v>0</v>
      </c>
      <c r="C126" s="4">
        <v>0</v>
      </c>
      <c r="D126" s="4">
        <v>1</v>
      </c>
      <c r="E126" s="4">
        <v>202</v>
      </c>
      <c r="F126" s="4">
        <f>ROUND(Source!P123,O126)</f>
        <v>10850</v>
      </c>
      <c r="G126" s="4" t="s">
        <v>121</v>
      </c>
      <c r="H126" s="4" t="s">
        <v>122</v>
      </c>
      <c r="I126" s="4"/>
      <c r="J126" s="4"/>
      <c r="K126" s="4">
        <v>202</v>
      </c>
      <c r="L126" s="4">
        <v>2</v>
      </c>
      <c r="M126" s="4">
        <v>3</v>
      </c>
      <c r="N126" s="4" t="s">
        <v>3</v>
      </c>
      <c r="O126" s="4">
        <v>0</v>
      </c>
      <c r="P126" s="4"/>
      <c r="Q126" s="4"/>
      <c r="R126" s="4"/>
      <c r="S126" s="4"/>
      <c r="T126" s="4"/>
      <c r="U126" s="4"/>
      <c r="V126" s="4"/>
      <c r="W126" s="4">
        <v>10850</v>
      </c>
      <c r="X126" s="4">
        <v>1</v>
      </c>
      <c r="Y126" s="4">
        <v>100905</v>
      </c>
      <c r="Z126" s="4"/>
      <c r="AA126" s="4"/>
      <c r="AB126" s="4"/>
    </row>
    <row r="127" spans="1:206" x14ac:dyDescent="0.2">
      <c r="A127" s="4">
        <v>50</v>
      </c>
      <c r="B127" s="4">
        <v>0</v>
      </c>
      <c r="C127" s="4">
        <v>0</v>
      </c>
      <c r="D127" s="4">
        <v>1</v>
      </c>
      <c r="E127" s="4">
        <v>222</v>
      </c>
      <c r="F127" s="4">
        <f>ROUND(Source!AO123,O127)</f>
        <v>0</v>
      </c>
      <c r="G127" s="4" t="s">
        <v>123</v>
      </c>
      <c r="H127" s="4" t="s">
        <v>124</v>
      </c>
      <c r="I127" s="4"/>
      <c r="J127" s="4"/>
      <c r="K127" s="4">
        <v>222</v>
      </c>
      <c r="L127" s="4">
        <v>3</v>
      </c>
      <c r="M127" s="4">
        <v>3</v>
      </c>
      <c r="N127" s="4" t="s">
        <v>3</v>
      </c>
      <c r="O127" s="4">
        <v>0</v>
      </c>
      <c r="P127" s="4"/>
      <c r="Q127" s="4"/>
      <c r="R127" s="4"/>
      <c r="S127" s="4"/>
      <c r="T127" s="4"/>
      <c r="U127" s="4"/>
      <c r="V127" s="4"/>
      <c r="W127" s="4">
        <v>0</v>
      </c>
      <c r="X127" s="4">
        <v>1</v>
      </c>
      <c r="Y127" s="4">
        <v>0</v>
      </c>
      <c r="Z127" s="4"/>
      <c r="AA127" s="4"/>
      <c r="AB127" s="4"/>
    </row>
    <row r="128" spans="1:206" x14ac:dyDescent="0.2">
      <c r="A128" s="4">
        <v>50</v>
      </c>
      <c r="B128" s="4">
        <v>0</v>
      </c>
      <c r="C128" s="4">
        <v>0</v>
      </c>
      <c r="D128" s="4">
        <v>1</v>
      </c>
      <c r="E128" s="4">
        <v>225</v>
      </c>
      <c r="F128" s="4">
        <f>ROUND(Source!AV123,O128)</f>
        <v>10850</v>
      </c>
      <c r="G128" s="4" t="s">
        <v>125</v>
      </c>
      <c r="H128" s="4" t="s">
        <v>126</v>
      </c>
      <c r="I128" s="4"/>
      <c r="J128" s="4"/>
      <c r="K128" s="4">
        <v>225</v>
      </c>
      <c r="L128" s="4">
        <v>4</v>
      </c>
      <c r="M128" s="4">
        <v>3</v>
      </c>
      <c r="N128" s="4" t="s">
        <v>3</v>
      </c>
      <c r="O128" s="4">
        <v>0</v>
      </c>
      <c r="P128" s="4"/>
      <c r="Q128" s="4"/>
      <c r="R128" s="4"/>
      <c r="S128" s="4"/>
      <c r="T128" s="4"/>
      <c r="U128" s="4"/>
      <c r="V128" s="4"/>
      <c r="W128" s="4">
        <v>10850</v>
      </c>
      <c r="X128" s="4">
        <v>1</v>
      </c>
      <c r="Y128" s="4">
        <v>0</v>
      </c>
      <c r="Z128" s="4"/>
      <c r="AA128" s="4"/>
      <c r="AB128" s="4"/>
    </row>
    <row r="129" spans="1:28" x14ac:dyDescent="0.2">
      <c r="A129" s="4">
        <v>50</v>
      </c>
      <c r="B129" s="4">
        <v>0</v>
      </c>
      <c r="C129" s="4">
        <v>0</v>
      </c>
      <c r="D129" s="4">
        <v>1</v>
      </c>
      <c r="E129" s="4">
        <v>226</v>
      </c>
      <c r="F129" s="4">
        <f>ROUND(Source!AW123,O129)</f>
        <v>10850</v>
      </c>
      <c r="G129" s="4" t="s">
        <v>127</v>
      </c>
      <c r="H129" s="4" t="s">
        <v>128</v>
      </c>
      <c r="I129" s="4"/>
      <c r="J129" s="4"/>
      <c r="K129" s="4">
        <v>226</v>
      </c>
      <c r="L129" s="4">
        <v>5</v>
      </c>
      <c r="M129" s="4">
        <v>3</v>
      </c>
      <c r="N129" s="4" t="s">
        <v>3</v>
      </c>
      <c r="O129" s="4">
        <v>0</v>
      </c>
      <c r="P129" s="4"/>
      <c r="Q129" s="4"/>
      <c r="R129" s="4"/>
      <c r="S129" s="4"/>
      <c r="T129" s="4"/>
      <c r="U129" s="4"/>
      <c r="V129" s="4"/>
      <c r="W129" s="4">
        <v>10850</v>
      </c>
      <c r="X129" s="4">
        <v>1</v>
      </c>
      <c r="Y129" s="4">
        <v>100905</v>
      </c>
      <c r="Z129" s="4"/>
      <c r="AA129" s="4"/>
      <c r="AB129" s="4"/>
    </row>
    <row r="130" spans="1:28" x14ac:dyDescent="0.2">
      <c r="A130" s="4">
        <v>50</v>
      </c>
      <c r="B130" s="4">
        <v>0</v>
      </c>
      <c r="C130" s="4">
        <v>0</v>
      </c>
      <c r="D130" s="4">
        <v>1</v>
      </c>
      <c r="E130" s="4">
        <v>227</v>
      </c>
      <c r="F130" s="4">
        <f>ROUND(Source!AX123,O130)</f>
        <v>0</v>
      </c>
      <c r="G130" s="4" t="s">
        <v>129</v>
      </c>
      <c r="H130" s="4" t="s">
        <v>130</v>
      </c>
      <c r="I130" s="4"/>
      <c r="J130" s="4"/>
      <c r="K130" s="4">
        <v>227</v>
      </c>
      <c r="L130" s="4">
        <v>6</v>
      </c>
      <c r="M130" s="4">
        <v>3</v>
      </c>
      <c r="N130" s="4" t="s">
        <v>3</v>
      </c>
      <c r="O130" s="4">
        <v>0</v>
      </c>
      <c r="P130" s="4"/>
      <c r="Q130" s="4"/>
      <c r="R130" s="4"/>
      <c r="S130" s="4"/>
      <c r="T130" s="4"/>
      <c r="U130" s="4"/>
      <c r="V130" s="4"/>
      <c r="W130" s="4">
        <v>0</v>
      </c>
      <c r="X130" s="4">
        <v>1</v>
      </c>
      <c r="Y130" s="4">
        <v>0</v>
      </c>
      <c r="Z130" s="4"/>
      <c r="AA130" s="4"/>
      <c r="AB130" s="4"/>
    </row>
    <row r="131" spans="1:28" x14ac:dyDescent="0.2">
      <c r="A131" s="4">
        <v>50</v>
      </c>
      <c r="B131" s="4">
        <v>0</v>
      </c>
      <c r="C131" s="4">
        <v>0</v>
      </c>
      <c r="D131" s="4">
        <v>1</v>
      </c>
      <c r="E131" s="4">
        <v>228</v>
      </c>
      <c r="F131" s="4">
        <f>ROUND(Source!AY123,O131)</f>
        <v>10850</v>
      </c>
      <c r="G131" s="4" t="s">
        <v>131</v>
      </c>
      <c r="H131" s="4" t="s">
        <v>132</v>
      </c>
      <c r="I131" s="4"/>
      <c r="J131" s="4"/>
      <c r="K131" s="4">
        <v>228</v>
      </c>
      <c r="L131" s="4">
        <v>7</v>
      </c>
      <c r="M131" s="4">
        <v>3</v>
      </c>
      <c r="N131" s="4" t="s">
        <v>3</v>
      </c>
      <c r="O131" s="4">
        <v>0</v>
      </c>
      <c r="P131" s="4"/>
      <c r="Q131" s="4"/>
      <c r="R131" s="4"/>
      <c r="S131" s="4"/>
      <c r="T131" s="4"/>
      <c r="U131" s="4"/>
      <c r="V131" s="4"/>
      <c r="W131" s="4">
        <v>10850</v>
      </c>
      <c r="X131" s="4">
        <v>1</v>
      </c>
      <c r="Y131" s="4">
        <v>100905</v>
      </c>
      <c r="Z131" s="4"/>
      <c r="AA131" s="4"/>
      <c r="AB131" s="4"/>
    </row>
    <row r="132" spans="1:28" x14ac:dyDescent="0.2">
      <c r="A132" s="4">
        <v>50</v>
      </c>
      <c r="B132" s="4">
        <v>0</v>
      </c>
      <c r="C132" s="4">
        <v>0</v>
      </c>
      <c r="D132" s="4">
        <v>1</v>
      </c>
      <c r="E132" s="4">
        <v>216</v>
      </c>
      <c r="F132" s="4">
        <f>ROUND(Source!AP123,O132)</f>
        <v>0</v>
      </c>
      <c r="G132" s="4" t="s">
        <v>133</v>
      </c>
      <c r="H132" s="4" t="s">
        <v>134</v>
      </c>
      <c r="I132" s="4"/>
      <c r="J132" s="4"/>
      <c r="K132" s="4">
        <v>216</v>
      </c>
      <c r="L132" s="4">
        <v>8</v>
      </c>
      <c r="M132" s="4">
        <v>3</v>
      </c>
      <c r="N132" s="4" t="s">
        <v>3</v>
      </c>
      <c r="O132" s="4">
        <v>0</v>
      </c>
      <c r="P132" s="4"/>
      <c r="Q132" s="4"/>
      <c r="R132" s="4"/>
      <c r="S132" s="4"/>
      <c r="T132" s="4"/>
      <c r="U132" s="4"/>
      <c r="V132" s="4"/>
      <c r="W132" s="4">
        <v>0</v>
      </c>
      <c r="X132" s="4">
        <v>1</v>
      </c>
      <c r="Y132" s="4">
        <v>0</v>
      </c>
      <c r="Z132" s="4"/>
      <c r="AA132" s="4"/>
      <c r="AB132" s="4"/>
    </row>
    <row r="133" spans="1:28" x14ac:dyDescent="0.2">
      <c r="A133" s="4">
        <v>50</v>
      </c>
      <c r="B133" s="4">
        <v>0</v>
      </c>
      <c r="C133" s="4">
        <v>0</v>
      </c>
      <c r="D133" s="4">
        <v>1</v>
      </c>
      <c r="E133" s="4">
        <v>223</v>
      </c>
      <c r="F133" s="4">
        <f>ROUND(Source!AQ123,O133)</f>
        <v>0</v>
      </c>
      <c r="G133" s="4" t="s">
        <v>135</v>
      </c>
      <c r="H133" s="4" t="s">
        <v>136</v>
      </c>
      <c r="I133" s="4"/>
      <c r="J133" s="4"/>
      <c r="K133" s="4">
        <v>223</v>
      </c>
      <c r="L133" s="4">
        <v>9</v>
      </c>
      <c r="M133" s="4">
        <v>3</v>
      </c>
      <c r="N133" s="4" t="s">
        <v>3</v>
      </c>
      <c r="O133" s="4">
        <v>0</v>
      </c>
      <c r="P133" s="4"/>
      <c r="Q133" s="4"/>
      <c r="R133" s="4"/>
      <c r="S133" s="4"/>
      <c r="T133" s="4"/>
      <c r="U133" s="4"/>
      <c r="V133" s="4"/>
      <c r="W133" s="4">
        <v>0</v>
      </c>
      <c r="X133" s="4">
        <v>1</v>
      </c>
      <c r="Y133" s="4">
        <v>0</v>
      </c>
      <c r="Z133" s="4"/>
      <c r="AA133" s="4"/>
      <c r="AB133" s="4"/>
    </row>
    <row r="134" spans="1:28" x14ac:dyDescent="0.2">
      <c r="A134" s="4">
        <v>50</v>
      </c>
      <c r="B134" s="4">
        <v>0</v>
      </c>
      <c r="C134" s="4">
        <v>0</v>
      </c>
      <c r="D134" s="4">
        <v>1</v>
      </c>
      <c r="E134" s="4">
        <v>229</v>
      </c>
      <c r="F134" s="4">
        <f>ROUND(Source!AZ123,O134)</f>
        <v>0</v>
      </c>
      <c r="G134" s="4" t="s">
        <v>137</v>
      </c>
      <c r="H134" s="4" t="s">
        <v>138</v>
      </c>
      <c r="I134" s="4"/>
      <c r="J134" s="4"/>
      <c r="K134" s="4">
        <v>229</v>
      </c>
      <c r="L134" s="4">
        <v>10</v>
      </c>
      <c r="M134" s="4">
        <v>3</v>
      </c>
      <c r="N134" s="4" t="s">
        <v>3</v>
      </c>
      <c r="O134" s="4">
        <v>0</v>
      </c>
      <c r="P134" s="4"/>
      <c r="Q134" s="4"/>
      <c r="R134" s="4"/>
      <c r="S134" s="4"/>
      <c r="T134" s="4"/>
      <c r="U134" s="4"/>
      <c r="V134" s="4"/>
      <c r="W134" s="4">
        <v>0</v>
      </c>
      <c r="X134" s="4">
        <v>1</v>
      </c>
      <c r="Y134" s="4">
        <v>0</v>
      </c>
      <c r="Z134" s="4"/>
      <c r="AA134" s="4"/>
      <c r="AB134" s="4"/>
    </row>
    <row r="135" spans="1:28" x14ac:dyDescent="0.2">
      <c r="A135" s="4">
        <v>50</v>
      </c>
      <c r="B135" s="4">
        <v>0</v>
      </c>
      <c r="C135" s="4">
        <v>0</v>
      </c>
      <c r="D135" s="4">
        <v>1</v>
      </c>
      <c r="E135" s="4">
        <v>203</v>
      </c>
      <c r="F135" s="4">
        <f>ROUND(Source!Q123,O135)</f>
        <v>1540</v>
      </c>
      <c r="G135" s="4" t="s">
        <v>139</v>
      </c>
      <c r="H135" s="4" t="s">
        <v>140</v>
      </c>
      <c r="I135" s="4"/>
      <c r="J135" s="4"/>
      <c r="K135" s="4">
        <v>203</v>
      </c>
      <c r="L135" s="4">
        <v>11</v>
      </c>
      <c r="M135" s="4">
        <v>3</v>
      </c>
      <c r="N135" s="4" t="s">
        <v>3</v>
      </c>
      <c r="O135" s="4">
        <v>0</v>
      </c>
      <c r="P135" s="4"/>
      <c r="Q135" s="4"/>
      <c r="R135" s="4"/>
      <c r="S135" s="4"/>
      <c r="T135" s="4"/>
      <c r="U135" s="4"/>
      <c r="V135" s="4"/>
      <c r="W135" s="4">
        <v>1540</v>
      </c>
      <c r="X135" s="4">
        <v>1</v>
      </c>
      <c r="Y135" s="4">
        <v>19142</v>
      </c>
      <c r="Z135" s="4"/>
      <c r="AA135" s="4"/>
      <c r="AB135" s="4"/>
    </row>
    <row r="136" spans="1:28" x14ac:dyDescent="0.2">
      <c r="A136" s="4">
        <v>50</v>
      </c>
      <c r="B136" s="4">
        <v>0</v>
      </c>
      <c r="C136" s="4">
        <v>0</v>
      </c>
      <c r="D136" s="4">
        <v>1</v>
      </c>
      <c r="E136" s="4">
        <v>231</v>
      </c>
      <c r="F136" s="4">
        <f>ROUND(Source!BB123,O136)</f>
        <v>0</v>
      </c>
      <c r="G136" s="4" t="s">
        <v>141</v>
      </c>
      <c r="H136" s="4" t="s">
        <v>142</v>
      </c>
      <c r="I136" s="4"/>
      <c r="J136" s="4"/>
      <c r="K136" s="4">
        <v>231</v>
      </c>
      <c r="L136" s="4">
        <v>12</v>
      </c>
      <c r="M136" s="4">
        <v>3</v>
      </c>
      <c r="N136" s="4" t="s">
        <v>3</v>
      </c>
      <c r="O136" s="4">
        <v>0</v>
      </c>
      <c r="P136" s="4"/>
      <c r="Q136" s="4"/>
      <c r="R136" s="4"/>
      <c r="S136" s="4"/>
      <c r="T136" s="4"/>
      <c r="U136" s="4"/>
      <c r="V136" s="4"/>
      <c r="W136" s="4">
        <v>0</v>
      </c>
      <c r="X136" s="4">
        <v>1</v>
      </c>
      <c r="Y136" s="4">
        <v>0</v>
      </c>
      <c r="Z136" s="4"/>
      <c r="AA136" s="4"/>
      <c r="AB136" s="4"/>
    </row>
    <row r="137" spans="1:28" x14ac:dyDescent="0.2">
      <c r="A137" s="4">
        <v>50</v>
      </c>
      <c r="B137" s="4">
        <v>0</v>
      </c>
      <c r="C137" s="4">
        <v>0</v>
      </c>
      <c r="D137" s="4">
        <v>1</v>
      </c>
      <c r="E137" s="4">
        <v>204</v>
      </c>
      <c r="F137" s="4">
        <f>ROUND(Source!R123,O137)</f>
        <v>86</v>
      </c>
      <c r="G137" s="4" t="s">
        <v>143</v>
      </c>
      <c r="H137" s="4" t="s">
        <v>144</v>
      </c>
      <c r="I137" s="4"/>
      <c r="J137" s="4"/>
      <c r="K137" s="4">
        <v>204</v>
      </c>
      <c r="L137" s="4">
        <v>13</v>
      </c>
      <c r="M137" s="4">
        <v>3</v>
      </c>
      <c r="N137" s="4" t="s">
        <v>3</v>
      </c>
      <c r="O137" s="4">
        <v>0</v>
      </c>
      <c r="P137" s="4"/>
      <c r="Q137" s="4"/>
      <c r="R137" s="4"/>
      <c r="S137" s="4"/>
      <c r="T137" s="4"/>
      <c r="U137" s="4"/>
      <c r="V137" s="4"/>
      <c r="W137" s="4">
        <v>86</v>
      </c>
      <c r="X137" s="4">
        <v>1</v>
      </c>
      <c r="Y137" s="4">
        <v>2830</v>
      </c>
      <c r="Z137" s="4"/>
      <c r="AA137" s="4"/>
      <c r="AB137" s="4"/>
    </row>
    <row r="138" spans="1:28" x14ac:dyDescent="0.2">
      <c r="A138" s="4">
        <v>50</v>
      </c>
      <c r="B138" s="4">
        <v>0</v>
      </c>
      <c r="C138" s="4">
        <v>0</v>
      </c>
      <c r="D138" s="4">
        <v>1</v>
      </c>
      <c r="E138" s="4">
        <v>205</v>
      </c>
      <c r="F138" s="4">
        <f>ROUND(Source!S123,O138)</f>
        <v>615</v>
      </c>
      <c r="G138" s="4" t="s">
        <v>145</v>
      </c>
      <c r="H138" s="4" t="s">
        <v>146</v>
      </c>
      <c r="I138" s="4"/>
      <c r="J138" s="4"/>
      <c r="K138" s="4">
        <v>205</v>
      </c>
      <c r="L138" s="4">
        <v>14</v>
      </c>
      <c r="M138" s="4">
        <v>3</v>
      </c>
      <c r="N138" s="4" t="s">
        <v>3</v>
      </c>
      <c r="O138" s="4">
        <v>0</v>
      </c>
      <c r="P138" s="4"/>
      <c r="Q138" s="4"/>
      <c r="R138" s="4"/>
      <c r="S138" s="4"/>
      <c r="T138" s="4"/>
      <c r="U138" s="4"/>
      <c r="V138" s="4"/>
      <c r="W138" s="4">
        <v>615</v>
      </c>
      <c r="X138" s="4">
        <v>1</v>
      </c>
      <c r="Y138" s="4">
        <v>20240</v>
      </c>
      <c r="Z138" s="4"/>
      <c r="AA138" s="4"/>
      <c r="AB138" s="4"/>
    </row>
    <row r="139" spans="1:28" x14ac:dyDescent="0.2">
      <c r="A139" s="4">
        <v>50</v>
      </c>
      <c r="B139" s="4">
        <v>0</v>
      </c>
      <c r="C139" s="4">
        <v>0</v>
      </c>
      <c r="D139" s="4">
        <v>1</v>
      </c>
      <c r="E139" s="4">
        <v>232</v>
      </c>
      <c r="F139" s="4">
        <f>ROUND(Source!BC123,O139)</f>
        <v>0</v>
      </c>
      <c r="G139" s="4" t="s">
        <v>147</v>
      </c>
      <c r="H139" s="4" t="s">
        <v>148</v>
      </c>
      <c r="I139" s="4"/>
      <c r="J139" s="4"/>
      <c r="K139" s="4">
        <v>232</v>
      </c>
      <c r="L139" s="4">
        <v>15</v>
      </c>
      <c r="M139" s="4">
        <v>3</v>
      </c>
      <c r="N139" s="4" t="s">
        <v>3</v>
      </c>
      <c r="O139" s="4">
        <v>0</v>
      </c>
      <c r="P139" s="4"/>
      <c r="Q139" s="4"/>
      <c r="R139" s="4"/>
      <c r="S139" s="4"/>
      <c r="T139" s="4"/>
      <c r="U139" s="4"/>
      <c r="V139" s="4"/>
      <c r="W139" s="4">
        <v>0</v>
      </c>
      <c r="X139" s="4">
        <v>1</v>
      </c>
      <c r="Y139" s="4">
        <v>0</v>
      </c>
      <c r="Z139" s="4"/>
      <c r="AA139" s="4"/>
      <c r="AB139" s="4"/>
    </row>
    <row r="140" spans="1:28" x14ac:dyDescent="0.2">
      <c r="A140" s="4">
        <v>50</v>
      </c>
      <c r="B140" s="4">
        <v>0</v>
      </c>
      <c r="C140" s="4">
        <v>0</v>
      </c>
      <c r="D140" s="4">
        <v>1</v>
      </c>
      <c r="E140" s="4">
        <v>214</v>
      </c>
      <c r="F140" s="4">
        <f>ROUND(Source!AS123,O140)</f>
        <v>14133</v>
      </c>
      <c r="G140" s="4" t="s">
        <v>149</v>
      </c>
      <c r="H140" s="4" t="s">
        <v>150</v>
      </c>
      <c r="I140" s="4"/>
      <c r="J140" s="4"/>
      <c r="K140" s="4">
        <v>214</v>
      </c>
      <c r="L140" s="4">
        <v>16</v>
      </c>
      <c r="M140" s="4">
        <v>3</v>
      </c>
      <c r="N140" s="4" t="s">
        <v>3</v>
      </c>
      <c r="O140" s="4">
        <v>0</v>
      </c>
      <c r="P140" s="4"/>
      <c r="Q140" s="4"/>
      <c r="R140" s="4"/>
      <c r="S140" s="4"/>
      <c r="T140" s="4"/>
      <c r="U140" s="4"/>
      <c r="V140" s="4"/>
      <c r="W140" s="4">
        <v>14133</v>
      </c>
      <c r="X140" s="4">
        <v>1</v>
      </c>
      <c r="Y140" s="4">
        <v>177439</v>
      </c>
      <c r="Z140" s="4"/>
      <c r="AA140" s="4"/>
      <c r="AB140" s="4"/>
    </row>
    <row r="141" spans="1:28" x14ac:dyDescent="0.2">
      <c r="A141" s="4">
        <v>50</v>
      </c>
      <c r="B141" s="4">
        <v>0</v>
      </c>
      <c r="C141" s="4">
        <v>0</v>
      </c>
      <c r="D141" s="4">
        <v>1</v>
      </c>
      <c r="E141" s="4">
        <v>215</v>
      </c>
      <c r="F141" s="4">
        <f>ROUND(Source!AT123,O141)</f>
        <v>0</v>
      </c>
      <c r="G141" s="4" t="s">
        <v>151</v>
      </c>
      <c r="H141" s="4" t="s">
        <v>152</v>
      </c>
      <c r="I141" s="4"/>
      <c r="J141" s="4"/>
      <c r="K141" s="4">
        <v>215</v>
      </c>
      <c r="L141" s="4">
        <v>17</v>
      </c>
      <c r="M141" s="4">
        <v>3</v>
      </c>
      <c r="N141" s="4" t="s">
        <v>3</v>
      </c>
      <c r="O141" s="4">
        <v>0</v>
      </c>
      <c r="P141" s="4"/>
      <c r="Q141" s="4"/>
      <c r="R141" s="4"/>
      <c r="S141" s="4"/>
      <c r="T141" s="4"/>
      <c r="U141" s="4"/>
      <c r="V141" s="4"/>
      <c r="W141" s="4">
        <v>0</v>
      </c>
      <c r="X141" s="4">
        <v>1</v>
      </c>
      <c r="Y141" s="4">
        <v>0</v>
      </c>
      <c r="Z141" s="4"/>
      <c r="AA141" s="4"/>
      <c r="AB141" s="4"/>
    </row>
    <row r="142" spans="1:28" x14ac:dyDescent="0.2">
      <c r="A142" s="4">
        <v>50</v>
      </c>
      <c r="B142" s="4">
        <v>0</v>
      </c>
      <c r="C142" s="4">
        <v>0</v>
      </c>
      <c r="D142" s="4">
        <v>1</v>
      </c>
      <c r="E142" s="4">
        <v>217</v>
      </c>
      <c r="F142" s="4">
        <f>ROUND(Source!AU123,O142)</f>
        <v>0</v>
      </c>
      <c r="G142" s="4" t="s">
        <v>153</v>
      </c>
      <c r="H142" s="4" t="s">
        <v>154</v>
      </c>
      <c r="I142" s="4"/>
      <c r="J142" s="4"/>
      <c r="K142" s="4">
        <v>217</v>
      </c>
      <c r="L142" s="4">
        <v>18</v>
      </c>
      <c r="M142" s="4">
        <v>3</v>
      </c>
      <c r="N142" s="4" t="s">
        <v>3</v>
      </c>
      <c r="O142" s="4">
        <v>0</v>
      </c>
      <c r="P142" s="4"/>
      <c r="Q142" s="4"/>
      <c r="R142" s="4"/>
      <c r="S142" s="4"/>
      <c r="T142" s="4"/>
      <c r="U142" s="4"/>
      <c r="V142" s="4"/>
      <c r="W142" s="4">
        <v>0</v>
      </c>
      <c r="X142" s="4">
        <v>1</v>
      </c>
      <c r="Y142" s="4">
        <v>0</v>
      </c>
      <c r="Z142" s="4"/>
      <c r="AA142" s="4"/>
      <c r="AB142" s="4"/>
    </row>
    <row r="143" spans="1:28" x14ac:dyDescent="0.2">
      <c r="A143" s="4">
        <v>50</v>
      </c>
      <c r="B143" s="4">
        <v>0</v>
      </c>
      <c r="C143" s="4">
        <v>0</v>
      </c>
      <c r="D143" s="4">
        <v>1</v>
      </c>
      <c r="E143" s="4">
        <v>230</v>
      </c>
      <c r="F143" s="4">
        <f>ROUND(Source!BA123,O143)</f>
        <v>0</v>
      </c>
      <c r="G143" s="4" t="s">
        <v>155</v>
      </c>
      <c r="H143" s="4" t="s">
        <v>156</v>
      </c>
      <c r="I143" s="4"/>
      <c r="J143" s="4"/>
      <c r="K143" s="4">
        <v>230</v>
      </c>
      <c r="L143" s="4">
        <v>19</v>
      </c>
      <c r="M143" s="4">
        <v>3</v>
      </c>
      <c r="N143" s="4" t="s">
        <v>3</v>
      </c>
      <c r="O143" s="4">
        <v>0</v>
      </c>
      <c r="P143" s="4"/>
      <c r="Q143" s="4"/>
      <c r="R143" s="4"/>
      <c r="S143" s="4"/>
      <c r="T143" s="4"/>
      <c r="U143" s="4"/>
      <c r="V143" s="4"/>
      <c r="W143" s="4">
        <v>0</v>
      </c>
      <c r="X143" s="4">
        <v>1</v>
      </c>
      <c r="Y143" s="4">
        <v>0</v>
      </c>
      <c r="Z143" s="4"/>
      <c r="AA143" s="4"/>
      <c r="AB143" s="4"/>
    </row>
    <row r="144" spans="1:28" x14ac:dyDescent="0.2">
      <c r="A144" s="4">
        <v>50</v>
      </c>
      <c r="B144" s="4">
        <v>0</v>
      </c>
      <c r="C144" s="4">
        <v>0</v>
      </c>
      <c r="D144" s="4">
        <v>1</v>
      </c>
      <c r="E144" s="4">
        <v>206</v>
      </c>
      <c r="F144" s="4">
        <f>ROUND(Source!T123,O144)</f>
        <v>0</v>
      </c>
      <c r="G144" s="4" t="s">
        <v>157</v>
      </c>
      <c r="H144" s="4" t="s">
        <v>158</v>
      </c>
      <c r="I144" s="4"/>
      <c r="J144" s="4"/>
      <c r="K144" s="4">
        <v>206</v>
      </c>
      <c r="L144" s="4">
        <v>20</v>
      </c>
      <c r="M144" s="4">
        <v>3</v>
      </c>
      <c r="N144" s="4" t="s">
        <v>3</v>
      </c>
      <c r="O144" s="4">
        <v>0</v>
      </c>
      <c r="P144" s="4"/>
      <c r="Q144" s="4"/>
      <c r="R144" s="4"/>
      <c r="S144" s="4"/>
      <c r="T144" s="4"/>
      <c r="U144" s="4"/>
      <c r="V144" s="4"/>
      <c r="W144" s="4">
        <v>0</v>
      </c>
      <c r="X144" s="4">
        <v>1</v>
      </c>
      <c r="Y144" s="4">
        <v>0</v>
      </c>
      <c r="Z144" s="4"/>
      <c r="AA144" s="4"/>
      <c r="AB144" s="4"/>
    </row>
    <row r="145" spans="1:28" x14ac:dyDescent="0.2">
      <c r="A145" s="4">
        <v>50</v>
      </c>
      <c r="B145" s="4">
        <v>0</v>
      </c>
      <c r="C145" s="4">
        <v>0</v>
      </c>
      <c r="D145" s="4">
        <v>1</v>
      </c>
      <c r="E145" s="4">
        <v>207</v>
      </c>
      <c r="F145" s="4">
        <f>Source!U123</f>
        <v>68.476216000000008</v>
      </c>
      <c r="G145" s="4" t="s">
        <v>159</v>
      </c>
      <c r="H145" s="4" t="s">
        <v>160</v>
      </c>
      <c r="I145" s="4"/>
      <c r="J145" s="4"/>
      <c r="K145" s="4">
        <v>207</v>
      </c>
      <c r="L145" s="4">
        <v>21</v>
      </c>
      <c r="M145" s="4">
        <v>3</v>
      </c>
      <c r="N145" s="4" t="s">
        <v>3</v>
      </c>
      <c r="O145" s="4">
        <v>-1</v>
      </c>
      <c r="P145" s="4"/>
      <c r="Q145" s="4"/>
      <c r="R145" s="4"/>
      <c r="S145" s="4"/>
      <c r="T145" s="4"/>
      <c r="U145" s="4"/>
      <c r="V145" s="4"/>
      <c r="W145" s="4">
        <v>68.476215999999994</v>
      </c>
      <c r="X145" s="4">
        <v>1</v>
      </c>
      <c r="Y145" s="4">
        <v>68.476215999999994</v>
      </c>
      <c r="Z145" s="4"/>
      <c r="AA145" s="4"/>
      <c r="AB145" s="4"/>
    </row>
    <row r="146" spans="1:28" x14ac:dyDescent="0.2">
      <c r="A146" s="4">
        <v>50</v>
      </c>
      <c r="B146" s="4">
        <v>0</v>
      </c>
      <c r="C146" s="4">
        <v>0</v>
      </c>
      <c r="D146" s="4">
        <v>1</v>
      </c>
      <c r="E146" s="4">
        <v>208</v>
      </c>
      <c r="F146" s="4">
        <f>Source!V123</f>
        <v>5.7678919999999998</v>
      </c>
      <c r="G146" s="4" t="s">
        <v>161</v>
      </c>
      <c r="H146" s="4" t="s">
        <v>162</v>
      </c>
      <c r="I146" s="4"/>
      <c r="J146" s="4"/>
      <c r="K146" s="4">
        <v>208</v>
      </c>
      <c r="L146" s="4">
        <v>22</v>
      </c>
      <c r="M146" s="4">
        <v>3</v>
      </c>
      <c r="N146" s="4" t="s">
        <v>3</v>
      </c>
      <c r="O146" s="4">
        <v>-1</v>
      </c>
      <c r="P146" s="4"/>
      <c r="Q146" s="4"/>
      <c r="R146" s="4"/>
      <c r="S146" s="4"/>
      <c r="T146" s="4"/>
      <c r="U146" s="4"/>
      <c r="V146" s="4"/>
      <c r="W146" s="4">
        <v>5.7678919999999998</v>
      </c>
      <c r="X146" s="4">
        <v>1</v>
      </c>
      <c r="Y146" s="4">
        <v>5.7678919999999998</v>
      </c>
      <c r="Z146" s="4"/>
      <c r="AA146" s="4"/>
      <c r="AB146" s="4"/>
    </row>
    <row r="147" spans="1:28" x14ac:dyDescent="0.2">
      <c r="A147" s="4">
        <v>50</v>
      </c>
      <c r="B147" s="4">
        <v>0</v>
      </c>
      <c r="C147" s="4">
        <v>0</v>
      </c>
      <c r="D147" s="4">
        <v>1</v>
      </c>
      <c r="E147" s="4">
        <v>209</v>
      </c>
      <c r="F147" s="4">
        <f>ROUND(Source!W123,O147)</f>
        <v>0</v>
      </c>
      <c r="G147" s="4" t="s">
        <v>163</v>
      </c>
      <c r="H147" s="4" t="s">
        <v>164</v>
      </c>
      <c r="I147" s="4"/>
      <c r="J147" s="4"/>
      <c r="K147" s="4">
        <v>209</v>
      </c>
      <c r="L147" s="4">
        <v>23</v>
      </c>
      <c r="M147" s="4">
        <v>3</v>
      </c>
      <c r="N147" s="4" t="s">
        <v>3</v>
      </c>
      <c r="O147" s="4">
        <v>0</v>
      </c>
      <c r="P147" s="4"/>
      <c r="Q147" s="4"/>
      <c r="R147" s="4"/>
      <c r="S147" s="4"/>
      <c r="T147" s="4"/>
      <c r="U147" s="4"/>
      <c r="V147" s="4"/>
      <c r="W147" s="4">
        <v>0</v>
      </c>
      <c r="X147" s="4">
        <v>1</v>
      </c>
      <c r="Y147" s="4">
        <v>0</v>
      </c>
      <c r="Z147" s="4"/>
      <c r="AA147" s="4"/>
      <c r="AB147" s="4"/>
    </row>
    <row r="148" spans="1:28" x14ac:dyDescent="0.2">
      <c r="A148" s="4">
        <v>50</v>
      </c>
      <c r="B148" s="4">
        <v>0</v>
      </c>
      <c r="C148" s="4">
        <v>0</v>
      </c>
      <c r="D148" s="4">
        <v>1</v>
      </c>
      <c r="E148" s="4">
        <v>233</v>
      </c>
      <c r="F148" s="4">
        <f>ROUND(Source!BD123,O148)</f>
        <v>0</v>
      </c>
      <c r="G148" s="4" t="s">
        <v>165</v>
      </c>
      <c r="H148" s="4" t="s">
        <v>166</v>
      </c>
      <c r="I148" s="4"/>
      <c r="J148" s="4"/>
      <c r="K148" s="4">
        <v>233</v>
      </c>
      <c r="L148" s="4">
        <v>24</v>
      </c>
      <c r="M148" s="4">
        <v>3</v>
      </c>
      <c r="N148" s="4" t="s">
        <v>3</v>
      </c>
      <c r="O148" s="4">
        <v>0</v>
      </c>
      <c r="P148" s="4"/>
      <c r="Q148" s="4"/>
      <c r="R148" s="4"/>
      <c r="S148" s="4"/>
      <c r="T148" s="4"/>
      <c r="U148" s="4"/>
      <c r="V148" s="4"/>
      <c r="W148" s="4">
        <v>0</v>
      </c>
      <c r="X148" s="4">
        <v>1</v>
      </c>
      <c r="Y148" s="4">
        <v>0</v>
      </c>
      <c r="Z148" s="4"/>
      <c r="AA148" s="4"/>
      <c r="AB148" s="4"/>
    </row>
    <row r="149" spans="1:28" x14ac:dyDescent="0.2">
      <c r="A149" s="4">
        <v>50</v>
      </c>
      <c r="B149" s="4">
        <v>0</v>
      </c>
      <c r="C149" s="4">
        <v>0</v>
      </c>
      <c r="D149" s="4">
        <v>1</v>
      </c>
      <c r="E149" s="4">
        <v>210</v>
      </c>
      <c r="F149" s="4">
        <f>ROUND(Source!X123,O149)</f>
        <v>728</v>
      </c>
      <c r="G149" s="4" t="s">
        <v>167</v>
      </c>
      <c r="H149" s="4" t="s">
        <v>168</v>
      </c>
      <c r="I149" s="4"/>
      <c r="J149" s="4"/>
      <c r="K149" s="4">
        <v>210</v>
      </c>
      <c r="L149" s="4">
        <v>25</v>
      </c>
      <c r="M149" s="4">
        <v>3</v>
      </c>
      <c r="N149" s="4" t="s">
        <v>3</v>
      </c>
      <c r="O149" s="4">
        <v>0</v>
      </c>
      <c r="P149" s="4"/>
      <c r="Q149" s="4"/>
      <c r="R149" s="4"/>
      <c r="S149" s="4"/>
      <c r="T149" s="4"/>
      <c r="U149" s="4"/>
      <c r="V149" s="4"/>
      <c r="W149" s="4">
        <v>728</v>
      </c>
      <c r="X149" s="4">
        <v>1</v>
      </c>
      <c r="Y149" s="4">
        <v>23986</v>
      </c>
      <c r="Z149" s="4"/>
      <c r="AA149" s="4"/>
      <c r="AB149" s="4"/>
    </row>
    <row r="150" spans="1:28" x14ac:dyDescent="0.2">
      <c r="A150" s="4">
        <v>50</v>
      </c>
      <c r="B150" s="4">
        <v>0</v>
      </c>
      <c r="C150" s="4">
        <v>0</v>
      </c>
      <c r="D150" s="4">
        <v>1</v>
      </c>
      <c r="E150" s="4">
        <v>211</v>
      </c>
      <c r="F150" s="4">
        <f>ROUND(Source!Y123,O150)</f>
        <v>400</v>
      </c>
      <c r="G150" s="4" t="s">
        <v>169</v>
      </c>
      <c r="H150" s="4" t="s">
        <v>170</v>
      </c>
      <c r="I150" s="4"/>
      <c r="J150" s="4"/>
      <c r="K150" s="4">
        <v>211</v>
      </c>
      <c r="L150" s="4">
        <v>26</v>
      </c>
      <c r="M150" s="4">
        <v>3</v>
      </c>
      <c r="N150" s="4" t="s">
        <v>3</v>
      </c>
      <c r="O150" s="4">
        <v>0</v>
      </c>
      <c r="P150" s="4"/>
      <c r="Q150" s="4"/>
      <c r="R150" s="4"/>
      <c r="S150" s="4"/>
      <c r="T150" s="4"/>
      <c r="U150" s="4"/>
      <c r="V150" s="4"/>
      <c r="W150" s="4">
        <v>400</v>
      </c>
      <c r="X150" s="4">
        <v>1</v>
      </c>
      <c r="Y150" s="4">
        <v>13166</v>
      </c>
      <c r="Z150" s="4"/>
      <c r="AA150" s="4"/>
      <c r="AB150" s="4"/>
    </row>
    <row r="151" spans="1:28" x14ac:dyDescent="0.2">
      <c r="A151" s="4">
        <v>50</v>
      </c>
      <c r="B151" s="4">
        <v>0</v>
      </c>
      <c r="C151" s="4">
        <v>0</v>
      </c>
      <c r="D151" s="4">
        <v>1</v>
      </c>
      <c r="E151" s="4">
        <v>224</v>
      </c>
      <c r="F151" s="4">
        <f>ROUND(Source!AR123,O151)</f>
        <v>14133</v>
      </c>
      <c r="G151" s="4" t="s">
        <v>171</v>
      </c>
      <c r="H151" s="4" t="s">
        <v>172</v>
      </c>
      <c r="I151" s="4"/>
      <c r="J151" s="4"/>
      <c r="K151" s="4">
        <v>224</v>
      </c>
      <c r="L151" s="4">
        <v>27</v>
      </c>
      <c r="M151" s="4">
        <v>3</v>
      </c>
      <c r="N151" s="4" t="s">
        <v>3</v>
      </c>
      <c r="O151" s="4">
        <v>0</v>
      </c>
      <c r="P151" s="4"/>
      <c r="Q151" s="4"/>
      <c r="R151" s="4"/>
      <c r="S151" s="4"/>
      <c r="T151" s="4"/>
      <c r="U151" s="4"/>
      <c r="V151" s="4"/>
      <c r="W151" s="4">
        <v>14133</v>
      </c>
      <c r="X151" s="4">
        <v>1</v>
      </c>
      <c r="Y151" s="4">
        <v>177439</v>
      </c>
      <c r="Z151" s="4"/>
      <c r="AA151" s="4"/>
      <c r="AB151" s="4"/>
    </row>
    <row r="152" spans="1:28" x14ac:dyDescent="0.2">
      <c r="A152" s="4">
        <v>50</v>
      </c>
      <c r="B152" s="4">
        <v>1</v>
      </c>
      <c r="C152" s="4">
        <v>0</v>
      </c>
      <c r="D152" s="4">
        <v>2</v>
      </c>
      <c r="E152" s="4">
        <v>0</v>
      </c>
      <c r="F152" s="4">
        <f>ROUND(F151*0.2,O152)</f>
        <v>2826.6</v>
      </c>
      <c r="G152" s="4" t="s">
        <v>186</v>
      </c>
      <c r="H152" s="4" t="s">
        <v>187</v>
      </c>
      <c r="I152" s="4"/>
      <c r="J152" s="4"/>
      <c r="K152" s="4">
        <v>212</v>
      </c>
      <c r="L152" s="4">
        <v>28</v>
      </c>
      <c r="M152" s="4">
        <v>0</v>
      </c>
      <c r="N152" s="4" t="s">
        <v>190</v>
      </c>
      <c r="O152" s="4">
        <v>2</v>
      </c>
      <c r="P152" s="4"/>
      <c r="Q152" s="4"/>
      <c r="R152" s="4"/>
      <c r="S152" s="4"/>
      <c r="T152" s="4"/>
      <c r="U152" s="4"/>
      <c r="V152" s="4"/>
      <c r="W152" s="4">
        <v>2827</v>
      </c>
      <c r="X152" s="4">
        <v>1</v>
      </c>
      <c r="Y152" s="4">
        <v>35488</v>
      </c>
      <c r="Z152" s="4"/>
      <c r="AA152" s="4"/>
      <c r="AB152" s="4"/>
    </row>
    <row r="153" spans="1:28" x14ac:dyDescent="0.2">
      <c r="A153" s="4">
        <v>50</v>
      </c>
      <c r="B153" s="4">
        <v>1</v>
      </c>
      <c r="C153" s="4">
        <v>0</v>
      </c>
      <c r="D153" s="4">
        <v>2</v>
      </c>
      <c r="E153" s="4">
        <v>213</v>
      </c>
      <c r="F153" s="4">
        <f>ROUND(F151+F152,O153)</f>
        <v>16959.599999999999</v>
      </c>
      <c r="G153" s="4" t="s">
        <v>191</v>
      </c>
      <c r="H153" s="4" t="s">
        <v>192</v>
      </c>
      <c r="I153" s="4"/>
      <c r="J153" s="4"/>
      <c r="K153" s="4">
        <v>212</v>
      </c>
      <c r="L153" s="4">
        <v>29</v>
      </c>
      <c r="M153" s="4">
        <v>0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>
        <v>16960</v>
      </c>
      <c r="X153" s="4">
        <v>1</v>
      </c>
      <c r="Y153" s="4">
        <v>212927</v>
      </c>
      <c r="Z153" s="4"/>
      <c r="AA153" s="4"/>
      <c r="AB153" s="4"/>
    </row>
    <row r="156" spans="1:28" x14ac:dyDescent="0.2">
      <c r="A156">
        <v>70</v>
      </c>
      <c r="B156">
        <v>1</v>
      </c>
      <c r="D156">
        <v>1</v>
      </c>
      <c r="E156" t="s">
        <v>193</v>
      </c>
      <c r="F156" t="s">
        <v>194</v>
      </c>
      <c r="G156">
        <v>1</v>
      </c>
      <c r="H156">
        <v>0</v>
      </c>
      <c r="I156" t="s">
        <v>3</v>
      </c>
      <c r="J156">
        <v>1</v>
      </c>
      <c r="K156">
        <v>0</v>
      </c>
      <c r="L156" t="s">
        <v>3</v>
      </c>
      <c r="M156" t="s">
        <v>3</v>
      </c>
      <c r="N156">
        <v>0</v>
      </c>
      <c r="P156" t="s">
        <v>195</v>
      </c>
    </row>
    <row r="157" spans="1:28" x14ac:dyDescent="0.2">
      <c r="A157">
        <v>70</v>
      </c>
      <c r="B157">
        <v>1</v>
      </c>
      <c r="D157">
        <v>2</v>
      </c>
      <c r="E157" t="s">
        <v>196</v>
      </c>
      <c r="F157" t="s">
        <v>197</v>
      </c>
      <c r="G157">
        <v>0</v>
      </c>
      <c r="H157">
        <v>0</v>
      </c>
      <c r="I157" t="s">
        <v>3</v>
      </c>
      <c r="J157">
        <v>1</v>
      </c>
      <c r="K157">
        <v>0</v>
      </c>
      <c r="L157" t="s">
        <v>3</v>
      </c>
      <c r="M157" t="s">
        <v>3</v>
      </c>
      <c r="N157">
        <v>0</v>
      </c>
      <c r="P157" t="s">
        <v>198</v>
      </c>
    </row>
    <row r="158" spans="1:28" x14ac:dyDescent="0.2">
      <c r="A158">
        <v>70</v>
      </c>
      <c r="B158">
        <v>1</v>
      </c>
      <c r="D158">
        <v>3</v>
      </c>
      <c r="E158" t="s">
        <v>199</v>
      </c>
      <c r="F158" t="s">
        <v>200</v>
      </c>
      <c r="G158">
        <v>0</v>
      </c>
      <c r="H158">
        <v>0</v>
      </c>
      <c r="I158" t="s">
        <v>3</v>
      </c>
      <c r="J158">
        <v>1</v>
      </c>
      <c r="K158">
        <v>0</v>
      </c>
      <c r="L158" t="s">
        <v>3</v>
      </c>
      <c r="M158" t="s">
        <v>3</v>
      </c>
      <c r="N158">
        <v>0</v>
      </c>
      <c r="P158" t="s">
        <v>201</v>
      </c>
    </row>
    <row r="159" spans="1:28" x14ac:dyDescent="0.2">
      <c r="A159">
        <v>70</v>
      </c>
      <c r="B159">
        <v>1</v>
      </c>
      <c r="D159">
        <v>4</v>
      </c>
      <c r="E159" t="s">
        <v>202</v>
      </c>
      <c r="F159" t="s">
        <v>203</v>
      </c>
      <c r="G159">
        <v>1</v>
      </c>
      <c r="H159">
        <v>0</v>
      </c>
      <c r="I159" t="s">
        <v>3</v>
      </c>
      <c r="J159">
        <v>2</v>
      </c>
      <c r="K159">
        <v>0</v>
      </c>
      <c r="L159" t="s">
        <v>3</v>
      </c>
      <c r="M159" t="s">
        <v>3</v>
      </c>
      <c r="N159">
        <v>0</v>
      </c>
      <c r="P159" t="s">
        <v>3</v>
      </c>
    </row>
    <row r="160" spans="1:28" x14ac:dyDescent="0.2">
      <c r="A160">
        <v>70</v>
      </c>
      <c r="B160">
        <v>1</v>
      </c>
      <c r="D160">
        <v>5</v>
      </c>
      <c r="E160" t="s">
        <v>204</v>
      </c>
      <c r="F160" t="s">
        <v>205</v>
      </c>
      <c r="G160">
        <v>0</v>
      </c>
      <c r="H160">
        <v>0</v>
      </c>
      <c r="I160" t="s">
        <v>3</v>
      </c>
      <c r="J160">
        <v>2</v>
      </c>
      <c r="K160">
        <v>0</v>
      </c>
      <c r="L160" t="s">
        <v>3</v>
      </c>
      <c r="M160" t="s">
        <v>3</v>
      </c>
      <c r="N160">
        <v>0</v>
      </c>
      <c r="P160" t="s">
        <v>3</v>
      </c>
    </row>
    <row r="161" spans="1:16" x14ac:dyDescent="0.2">
      <c r="A161">
        <v>70</v>
      </c>
      <c r="B161">
        <v>1</v>
      </c>
      <c r="D161">
        <v>6</v>
      </c>
      <c r="E161" t="s">
        <v>206</v>
      </c>
      <c r="F161" t="s">
        <v>207</v>
      </c>
      <c r="G161">
        <v>0</v>
      </c>
      <c r="H161">
        <v>0</v>
      </c>
      <c r="I161" t="s">
        <v>3</v>
      </c>
      <c r="J161">
        <v>2</v>
      </c>
      <c r="K161">
        <v>0</v>
      </c>
      <c r="L161" t="s">
        <v>3</v>
      </c>
      <c r="M161" t="s">
        <v>3</v>
      </c>
      <c r="N161">
        <v>0</v>
      </c>
      <c r="P161" t="s">
        <v>3</v>
      </c>
    </row>
    <row r="162" spans="1:16" x14ac:dyDescent="0.2">
      <c r="A162">
        <v>70</v>
      </c>
      <c r="B162">
        <v>1</v>
      </c>
      <c r="D162">
        <v>7</v>
      </c>
      <c r="E162" t="s">
        <v>208</v>
      </c>
      <c r="F162" t="s">
        <v>209</v>
      </c>
      <c r="G162">
        <v>0</v>
      </c>
      <c r="H162">
        <v>0</v>
      </c>
      <c r="I162" t="s">
        <v>210</v>
      </c>
      <c r="J162">
        <v>0</v>
      </c>
      <c r="K162">
        <v>0</v>
      </c>
      <c r="L162" t="s">
        <v>3</v>
      </c>
      <c r="M162" t="s">
        <v>3</v>
      </c>
      <c r="N162">
        <v>0</v>
      </c>
      <c r="P162" t="s">
        <v>211</v>
      </c>
    </row>
    <row r="163" spans="1:16" x14ac:dyDescent="0.2">
      <c r="A163">
        <v>70</v>
      </c>
      <c r="B163">
        <v>1</v>
      </c>
      <c r="D163">
        <v>8</v>
      </c>
      <c r="E163" t="s">
        <v>212</v>
      </c>
      <c r="F163" t="s">
        <v>213</v>
      </c>
      <c r="G163">
        <v>0</v>
      </c>
      <c r="H163">
        <v>0</v>
      </c>
      <c r="I163" t="s">
        <v>214</v>
      </c>
      <c r="J163">
        <v>0</v>
      </c>
      <c r="K163">
        <v>0</v>
      </c>
      <c r="L163" t="s">
        <v>3</v>
      </c>
      <c r="M163" t="s">
        <v>3</v>
      </c>
      <c r="N163">
        <v>0</v>
      </c>
      <c r="P163" t="s">
        <v>212</v>
      </c>
    </row>
    <row r="164" spans="1:16" x14ac:dyDescent="0.2">
      <c r="A164">
        <v>70</v>
      </c>
      <c r="B164">
        <v>1</v>
      </c>
      <c r="D164">
        <v>9</v>
      </c>
      <c r="E164" t="s">
        <v>215</v>
      </c>
      <c r="F164" t="s">
        <v>216</v>
      </c>
      <c r="G164">
        <v>0</v>
      </c>
      <c r="H164">
        <v>0</v>
      </c>
      <c r="I164" t="s">
        <v>217</v>
      </c>
      <c r="J164">
        <v>0</v>
      </c>
      <c r="K164">
        <v>0</v>
      </c>
      <c r="L164" t="s">
        <v>3</v>
      </c>
      <c r="M164" t="s">
        <v>3</v>
      </c>
      <c r="N164">
        <v>0</v>
      </c>
      <c r="P164" t="s">
        <v>218</v>
      </c>
    </row>
    <row r="165" spans="1:16" x14ac:dyDescent="0.2">
      <c r="A165">
        <v>70</v>
      </c>
      <c r="B165">
        <v>1</v>
      </c>
      <c r="D165">
        <v>10</v>
      </c>
      <c r="E165" t="s">
        <v>219</v>
      </c>
      <c r="F165" t="s">
        <v>220</v>
      </c>
      <c r="G165">
        <v>0</v>
      </c>
      <c r="H165">
        <v>0</v>
      </c>
      <c r="I165" t="s">
        <v>221</v>
      </c>
      <c r="J165">
        <v>0</v>
      </c>
      <c r="K165">
        <v>0</v>
      </c>
      <c r="L165" t="s">
        <v>3</v>
      </c>
      <c r="M165" t="s">
        <v>3</v>
      </c>
      <c r="N165">
        <v>0</v>
      </c>
      <c r="P165" t="s">
        <v>222</v>
      </c>
    </row>
    <row r="166" spans="1:16" x14ac:dyDescent="0.2">
      <c r="A166">
        <v>70</v>
      </c>
      <c r="B166">
        <v>1</v>
      </c>
      <c r="D166">
        <v>11</v>
      </c>
      <c r="E166" t="s">
        <v>223</v>
      </c>
      <c r="F166" t="s">
        <v>224</v>
      </c>
      <c r="G166">
        <v>0</v>
      </c>
      <c r="H166">
        <v>0</v>
      </c>
      <c r="I166" t="s">
        <v>225</v>
      </c>
      <c r="J166">
        <v>0</v>
      </c>
      <c r="K166">
        <v>0</v>
      </c>
      <c r="L166" t="s">
        <v>3</v>
      </c>
      <c r="M166" t="s">
        <v>3</v>
      </c>
      <c r="N166">
        <v>0</v>
      </c>
      <c r="P166" t="s">
        <v>226</v>
      </c>
    </row>
    <row r="167" spans="1:16" x14ac:dyDescent="0.2">
      <c r="A167">
        <v>70</v>
      </c>
      <c r="B167">
        <v>1</v>
      </c>
      <c r="D167">
        <v>12</v>
      </c>
      <c r="E167" t="s">
        <v>227</v>
      </c>
      <c r="F167" t="s">
        <v>228</v>
      </c>
      <c r="G167">
        <v>0</v>
      </c>
      <c r="H167">
        <v>0</v>
      </c>
      <c r="I167" t="s">
        <v>3</v>
      </c>
      <c r="J167">
        <v>0</v>
      </c>
      <c r="K167">
        <v>0</v>
      </c>
      <c r="L167" t="s">
        <v>3</v>
      </c>
      <c r="M167" t="s">
        <v>3</v>
      </c>
      <c r="N167">
        <v>0</v>
      </c>
      <c r="P167" t="s">
        <v>229</v>
      </c>
    </row>
    <row r="168" spans="1:16" x14ac:dyDescent="0.2">
      <c r="A168">
        <v>70</v>
      </c>
      <c r="B168">
        <v>1</v>
      </c>
      <c r="D168">
        <v>1</v>
      </c>
      <c r="E168" t="s">
        <v>230</v>
      </c>
      <c r="F168" t="s">
        <v>231</v>
      </c>
      <c r="G168">
        <v>0.9</v>
      </c>
      <c r="H168">
        <v>1</v>
      </c>
      <c r="I168" t="s">
        <v>232</v>
      </c>
      <c r="J168">
        <v>0</v>
      </c>
      <c r="K168">
        <v>0</v>
      </c>
      <c r="L168" t="s">
        <v>3</v>
      </c>
      <c r="M168" t="s">
        <v>3</v>
      </c>
      <c r="N168">
        <v>0</v>
      </c>
      <c r="P168" t="s">
        <v>233</v>
      </c>
    </row>
    <row r="169" spans="1:16" x14ac:dyDescent="0.2">
      <c r="A169">
        <v>70</v>
      </c>
      <c r="B169">
        <v>1</v>
      </c>
      <c r="D169">
        <v>2</v>
      </c>
      <c r="E169" t="s">
        <v>234</v>
      </c>
      <c r="F169" t="s">
        <v>235</v>
      </c>
      <c r="G169">
        <v>0.85</v>
      </c>
      <c r="H169">
        <v>1</v>
      </c>
      <c r="I169" t="s">
        <v>236</v>
      </c>
      <c r="J169">
        <v>0</v>
      </c>
      <c r="K169">
        <v>0</v>
      </c>
      <c r="L169" t="s">
        <v>3</v>
      </c>
      <c r="M169" t="s">
        <v>3</v>
      </c>
      <c r="N169">
        <v>0</v>
      </c>
      <c r="P169" t="s">
        <v>237</v>
      </c>
    </row>
    <row r="170" spans="1:16" x14ac:dyDescent="0.2">
      <c r="A170">
        <v>70</v>
      </c>
      <c r="B170">
        <v>1</v>
      </c>
      <c r="D170">
        <v>3</v>
      </c>
      <c r="E170" t="s">
        <v>238</v>
      </c>
      <c r="F170" t="s">
        <v>239</v>
      </c>
      <c r="G170">
        <v>1.03</v>
      </c>
      <c r="H170">
        <v>0</v>
      </c>
      <c r="I170" t="s">
        <v>3</v>
      </c>
      <c r="J170">
        <v>0</v>
      </c>
      <c r="K170">
        <v>0</v>
      </c>
      <c r="L170" t="s">
        <v>3</v>
      </c>
      <c r="M170" t="s">
        <v>3</v>
      </c>
      <c r="N170">
        <v>0</v>
      </c>
      <c r="P170" t="s">
        <v>240</v>
      </c>
    </row>
    <row r="171" spans="1:16" x14ac:dyDescent="0.2">
      <c r="A171">
        <v>70</v>
      </c>
      <c r="B171">
        <v>1</v>
      </c>
      <c r="D171">
        <v>4</v>
      </c>
      <c r="E171" t="s">
        <v>241</v>
      </c>
      <c r="F171" t="s">
        <v>242</v>
      </c>
      <c r="G171">
        <v>1.0900000000000001</v>
      </c>
      <c r="H171">
        <v>0</v>
      </c>
      <c r="I171" t="s">
        <v>3</v>
      </c>
      <c r="J171">
        <v>0</v>
      </c>
      <c r="K171">
        <v>0</v>
      </c>
      <c r="L171" t="s">
        <v>3</v>
      </c>
      <c r="M171" t="s">
        <v>3</v>
      </c>
      <c r="N171">
        <v>0</v>
      </c>
      <c r="P171" t="s">
        <v>243</v>
      </c>
    </row>
    <row r="172" spans="1:16" x14ac:dyDescent="0.2">
      <c r="A172">
        <v>70</v>
      </c>
      <c r="B172">
        <v>1</v>
      </c>
      <c r="D172">
        <v>5</v>
      </c>
      <c r="E172" t="s">
        <v>244</v>
      </c>
      <c r="F172" t="s">
        <v>245</v>
      </c>
      <c r="G172">
        <v>7</v>
      </c>
      <c r="H172">
        <v>0</v>
      </c>
      <c r="I172" t="s">
        <v>3</v>
      </c>
      <c r="J172">
        <v>0</v>
      </c>
      <c r="K172">
        <v>0</v>
      </c>
      <c r="L172" t="s">
        <v>3</v>
      </c>
      <c r="M172" t="s">
        <v>3</v>
      </c>
      <c r="N172">
        <v>0</v>
      </c>
      <c r="P172" t="s">
        <v>3</v>
      </c>
    </row>
    <row r="173" spans="1:16" x14ac:dyDescent="0.2">
      <c r="A173">
        <v>70</v>
      </c>
      <c r="B173">
        <v>1</v>
      </c>
      <c r="D173">
        <v>6</v>
      </c>
      <c r="E173" t="s">
        <v>246</v>
      </c>
      <c r="F173" t="s">
        <v>3</v>
      </c>
      <c r="G173">
        <v>2</v>
      </c>
      <c r="H173">
        <v>0</v>
      </c>
      <c r="I173" t="s">
        <v>3</v>
      </c>
      <c r="J173">
        <v>0</v>
      </c>
      <c r="K173">
        <v>0</v>
      </c>
      <c r="L173" t="s">
        <v>3</v>
      </c>
      <c r="M173" t="s">
        <v>3</v>
      </c>
      <c r="N173">
        <v>0</v>
      </c>
      <c r="P173" t="s">
        <v>3</v>
      </c>
    </row>
    <row r="175" spans="1:16" x14ac:dyDescent="0.2">
      <c r="A175">
        <v>-1</v>
      </c>
    </row>
    <row r="177" spans="1:40" x14ac:dyDescent="0.2">
      <c r="A177" s="3">
        <v>75</v>
      </c>
      <c r="B177" s="3" t="s">
        <v>247</v>
      </c>
      <c r="C177" s="3">
        <v>2024</v>
      </c>
      <c r="D177" s="3">
        <v>0</v>
      </c>
      <c r="E177" s="3">
        <v>5</v>
      </c>
      <c r="F177" s="3">
        <v>0</v>
      </c>
      <c r="G177" s="3">
        <v>0</v>
      </c>
      <c r="H177" s="3">
        <v>1</v>
      </c>
      <c r="I177" s="3">
        <v>0</v>
      </c>
      <c r="J177" s="3">
        <v>3</v>
      </c>
      <c r="K177" s="3">
        <v>0</v>
      </c>
      <c r="L177" s="3">
        <v>0</v>
      </c>
      <c r="M177" s="3">
        <v>0</v>
      </c>
      <c r="N177" s="3">
        <v>53679809</v>
      </c>
      <c r="O177" s="3">
        <v>1</v>
      </c>
    </row>
    <row r="178" spans="1:40" x14ac:dyDescent="0.2">
      <c r="A178" s="5">
        <v>3</v>
      </c>
      <c r="B178" s="5" t="s">
        <v>248</v>
      </c>
      <c r="C178" s="5">
        <v>1</v>
      </c>
      <c r="D178" s="5">
        <v>9.3000000000000007</v>
      </c>
      <c r="E178" s="5">
        <v>12.43</v>
      </c>
      <c r="F178" s="5">
        <v>32.909999999999997</v>
      </c>
      <c r="G178" s="5">
        <v>32.909999999999997</v>
      </c>
      <c r="H178" s="5">
        <v>1</v>
      </c>
      <c r="I178" s="5">
        <v>1</v>
      </c>
      <c r="J178" s="5">
        <v>2</v>
      </c>
      <c r="K178" s="5">
        <v>1</v>
      </c>
      <c r="L178" s="5">
        <v>1</v>
      </c>
      <c r="M178" s="5">
        <v>1</v>
      </c>
      <c r="N178" s="5">
        <v>9.3000000000000007</v>
      </c>
      <c r="O178" s="5">
        <v>1</v>
      </c>
      <c r="P178" s="5">
        <v>1</v>
      </c>
      <c r="Q178" s="5">
        <v>1</v>
      </c>
      <c r="R178" s="5">
        <v>1</v>
      </c>
      <c r="S178" s="5" t="s">
        <v>3</v>
      </c>
      <c r="T178" s="5" t="s">
        <v>3</v>
      </c>
      <c r="U178" s="5" t="s">
        <v>3</v>
      </c>
      <c r="V178" s="5" t="s">
        <v>3</v>
      </c>
      <c r="W178" s="5" t="s">
        <v>3</v>
      </c>
      <c r="X178" s="5" t="s">
        <v>3</v>
      </c>
      <c r="Y178" s="5" t="s">
        <v>3</v>
      </c>
      <c r="Z178" s="5" t="s">
        <v>3</v>
      </c>
      <c r="AA178" s="5" t="s">
        <v>3</v>
      </c>
      <c r="AB178" s="5" t="s">
        <v>3</v>
      </c>
      <c r="AC178" s="5" t="s">
        <v>3</v>
      </c>
      <c r="AD178" s="5" t="s">
        <v>3</v>
      </c>
      <c r="AE178" s="5" t="s">
        <v>3</v>
      </c>
      <c r="AF178" s="5" t="s">
        <v>3</v>
      </c>
      <c r="AG178" s="5" t="s">
        <v>3</v>
      </c>
      <c r="AH178" s="5" t="s">
        <v>3</v>
      </c>
      <c r="AI178" s="5"/>
      <c r="AJ178" s="5"/>
      <c r="AK178" s="5"/>
      <c r="AL178" s="5"/>
      <c r="AM178" s="5"/>
      <c r="AN178" s="5">
        <v>53679810</v>
      </c>
    </row>
    <row r="182" spans="1:40" x14ac:dyDescent="0.2">
      <c r="A182">
        <v>65</v>
      </c>
      <c r="C182">
        <v>1</v>
      </c>
      <c r="D182">
        <v>0</v>
      </c>
      <c r="E182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4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249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63193</v>
      </c>
      <c r="M1">
        <v>10</v>
      </c>
      <c r="N1">
        <v>11</v>
      </c>
      <c r="O1">
        <v>6</v>
      </c>
      <c r="P1">
        <v>5</v>
      </c>
      <c r="Q1">
        <v>6</v>
      </c>
    </row>
    <row r="12" spans="1:133" x14ac:dyDescent="0.2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6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3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0</v>
      </c>
      <c r="BQ12" s="1">
        <v>0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422051848</v>
      </c>
      <c r="CI12" s="1" t="s">
        <v>3</v>
      </c>
      <c r="CJ12" s="1" t="s">
        <v>3</v>
      </c>
      <c r="CK12" s="1">
        <v>2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1</v>
      </c>
      <c r="C14" s="1">
        <v>0</v>
      </c>
      <c r="D14" s="1">
        <v>53679809</v>
      </c>
      <c r="E14" s="1">
        <v>0</v>
      </c>
      <c r="F14" s="1">
        <v>2</v>
      </c>
      <c r="G14" s="1">
        <v>1</v>
      </c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0</v>
      </c>
      <c r="C16" s="6" t="s">
        <v>12</v>
      </c>
      <c r="D16" s="6" t="s">
        <v>12</v>
      </c>
      <c r="E16" s="7">
        <v>177.44</v>
      </c>
      <c r="F16" s="7">
        <v>0</v>
      </c>
      <c r="G16" s="7">
        <v>0</v>
      </c>
      <c r="H16" s="7">
        <v>0</v>
      </c>
      <c r="I16" s="7">
        <v>177.44</v>
      </c>
      <c r="J16" s="7">
        <v>23.07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140287</v>
      </c>
      <c r="AU16" s="7">
        <v>100905</v>
      </c>
      <c r="AV16" s="7">
        <v>0</v>
      </c>
      <c r="AW16" s="7">
        <v>0</v>
      </c>
      <c r="AX16" s="7">
        <v>0</v>
      </c>
      <c r="AY16" s="7">
        <v>19142</v>
      </c>
      <c r="AZ16" s="7">
        <v>2830</v>
      </c>
      <c r="BA16" s="7">
        <v>20240</v>
      </c>
      <c r="BB16" s="7">
        <v>177439</v>
      </c>
      <c r="BC16" s="7">
        <v>0</v>
      </c>
      <c r="BD16" s="7">
        <v>0</v>
      </c>
      <c r="BE16" s="7">
        <v>0</v>
      </c>
      <c r="BF16" s="7">
        <v>68.476215999999994</v>
      </c>
      <c r="BG16" s="7">
        <v>5.7678919999999998</v>
      </c>
      <c r="BH16" s="7">
        <v>0</v>
      </c>
      <c r="BI16" s="7">
        <v>23986</v>
      </c>
      <c r="BJ16" s="7">
        <v>13166</v>
      </c>
      <c r="BK16" s="7">
        <v>177439</v>
      </c>
    </row>
    <row r="18" spans="1:19" x14ac:dyDescent="0.2">
      <c r="A18">
        <v>51</v>
      </c>
      <c r="E18" s="8">
        <f>SUMIF(A16:A17,3,E16:E17)</f>
        <v>177.44</v>
      </c>
      <c r="F18" s="8">
        <f>SUMIF(A16:A17,3,F16:F17)</f>
        <v>0</v>
      </c>
      <c r="G18" s="8">
        <f>SUMIF(A16:A17,3,G16:G17)</f>
        <v>0</v>
      </c>
      <c r="H18" s="8">
        <f>SUMIF(A16:A17,3,H16:H17)</f>
        <v>0</v>
      </c>
      <c r="I18" s="8">
        <f>SUMIF(A16:A17,3,I16:I17)</f>
        <v>177.44</v>
      </c>
      <c r="J18" s="8">
        <f>SUMIF(A16:A17,3,J16:J17)</f>
        <v>23.07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140287</v>
      </c>
      <c r="G20" s="4" t="s">
        <v>119</v>
      </c>
      <c r="H20" s="4" t="s">
        <v>120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0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100905</v>
      </c>
      <c r="G21" s="4" t="s">
        <v>121</v>
      </c>
      <c r="H21" s="4" t="s">
        <v>122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0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123</v>
      </c>
      <c r="H22" s="4" t="s">
        <v>124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0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0</v>
      </c>
      <c r="G23" s="4" t="s">
        <v>125</v>
      </c>
      <c r="H23" s="4" t="s">
        <v>126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0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100905</v>
      </c>
      <c r="G24" s="4" t="s">
        <v>127</v>
      </c>
      <c r="H24" s="4" t="s">
        <v>128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0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129</v>
      </c>
      <c r="H25" s="4" t="s">
        <v>130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0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100905</v>
      </c>
      <c r="G26" s="4" t="s">
        <v>131</v>
      </c>
      <c r="H26" s="4" t="s">
        <v>132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0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133</v>
      </c>
      <c r="H27" s="4" t="s">
        <v>134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0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135</v>
      </c>
      <c r="H28" s="4" t="s">
        <v>136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0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137</v>
      </c>
      <c r="H29" s="4" t="s">
        <v>138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0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19142</v>
      </c>
      <c r="G30" s="4" t="s">
        <v>139</v>
      </c>
      <c r="H30" s="4" t="s">
        <v>140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0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141</v>
      </c>
      <c r="H31" s="4" t="s">
        <v>142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0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2830</v>
      </c>
      <c r="G32" s="4" t="s">
        <v>143</v>
      </c>
      <c r="H32" s="4" t="s">
        <v>144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0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20240</v>
      </c>
      <c r="G33" s="4" t="s">
        <v>145</v>
      </c>
      <c r="H33" s="4" t="s">
        <v>146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0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147</v>
      </c>
      <c r="H34" s="4" t="s">
        <v>148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0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177439</v>
      </c>
      <c r="G35" s="4" t="s">
        <v>149</v>
      </c>
      <c r="H35" s="4" t="s">
        <v>150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0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0</v>
      </c>
      <c r="G36" s="4" t="s">
        <v>151</v>
      </c>
      <c r="H36" s="4" t="s">
        <v>152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0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153</v>
      </c>
      <c r="H37" s="4" t="s">
        <v>154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0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155</v>
      </c>
      <c r="H38" s="4" t="s">
        <v>156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0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157</v>
      </c>
      <c r="H39" s="4" t="s">
        <v>158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0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68.476215999999994</v>
      </c>
      <c r="G40" s="4" t="s">
        <v>159</v>
      </c>
      <c r="H40" s="4" t="s">
        <v>160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5.7678919999999998</v>
      </c>
      <c r="G41" s="4" t="s">
        <v>161</v>
      </c>
      <c r="H41" s="4" t="s">
        <v>162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163</v>
      </c>
      <c r="H42" s="4" t="s">
        <v>164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0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165</v>
      </c>
      <c r="H43" s="4" t="s">
        <v>166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0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23986</v>
      </c>
      <c r="G44" s="4" t="s">
        <v>167</v>
      </c>
      <c r="H44" s="4" t="s">
        <v>168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0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13166</v>
      </c>
      <c r="G45" s="4" t="s">
        <v>169</v>
      </c>
      <c r="H45" s="4" t="s">
        <v>170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0</v>
      </c>
      <c r="P45" s="4"/>
    </row>
    <row r="46" spans="1:16" x14ac:dyDescent="0.2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177439</v>
      </c>
      <c r="G46" s="4" t="s">
        <v>171</v>
      </c>
      <c r="H46" s="4" t="s">
        <v>172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0</v>
      </c>
      <c r="P46" s="4"/>
    </row>
    <row r="47" spans="1:16" x14ac:dyDescent="0.2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35488</v>
      </c>
      <c r="G47" s="4" t="s">
        <v>186</v>
      </c>
      <c r="H47" s="4" t="s">
        <v>187</v>
      </c>
      <c r="I47" s="4"/>
      <c r="J47" s="4"/>
      <c r="K47" s="4">
        <v>212</v>
      </c>
      <c r="L47" s="4">
        <v>28</v>
      </c>
      <c r="M47" s="4">
        <v>0</v>
      </c>
      <c r="N47" s="4" t="s">
        <v>190</v>
      </c>
      <c r="O47" s="4">
        <v>2</v>
      </c>
      <c r="P47" s="4"/>
    </row>
    <row r="48" spans="1:16" x14ac:dyDescent="0.2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212927</v>
      </c>
      <c r="G48" s="4" t="s">
        <v>191</v>
      </c>
      <c r="H48" s="4" t="s">
        <v>192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 x14ac:dyDescent="0.2">
      <c r="A50">
        <v>-1</v>
      </c>
    </row>
    <row r="53" spans="1:40" x14ac:dyDescent="0.2">
      <c r="A53" s="3">
        <v>75</v>
      </c>
      <c r="B53" s="3" t="s">
        <v>247</v>
      </c>
      <c r="C53" s="3">
        <v>2024</v>
      </c>
      <c r="D53" s="3">
        <v>0</v>
      </c>
      <c r="E53" s="3">
        <v>5</v>
      </c>
      <c r="F53" s="3">
        <v>0</v>
      </c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53679809</v>
      </c>
      <c r="O53" s="3">
        <v>1</v>
      </c>
    </row>
    <row r="54" spans="1:40" x14ac:dyDescent="0.2">
      <c r="A54" s="5">
        <v>3</v>
      </c>
      <c r="B54" s="5" t="s">
        <v>248</v>
      </c>
      <c r="C54" s="5">
        <v>1</v>
      </c>
      <c r="D54" s="5">
        <v>9.3000000000000007</v>
      </c>
      <c r="E54" s="5">
        <v>12.43</v>
      </c>
      <c r="F54" s="5">
        <v>32.909999999999997</v>
      </c>
      <c r="G54" s="5">
        <v>32.909999999999997</v>
      </c>
      <c r="H54" s="5">
        <v>1</v>
      </c>
      <c r="I54" s="5">
        <v>1</v>
      </c>
      <c r="J54" s="5">
        <v>2</v>
      </c>
      <c r="K54" s="5">
        <v>1</v>
      </c>
      <c r="L54" s="5">
        <v>1</v>
      </c>
      <c r="M54" s="5">
        <v>1</v>
      </c>
      <c r="N54" s="5">
        <v>9.3000000000000007</v>
      </c>
      <c r="O54" s="5">
        <v>1</v>
      </c>
      <c r="P54" s="5">
        <v>1</v>
      </c>
      <c r="Q54" s="5">
        <v>1</v>
      </c>
      <c r="R54" s="5">
        <v>1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 t="s">
        <v>3</v>
      </c>
      <c r="AC54" s="5" t="s">
        <v>3</v>
      </c>
      <c r="AD54" s="5" t="s">
        <v>3</v>
      </c>
      <c r="AE54" s="5" t="s">
        <v>3</v>
      </c>
      <c r="AF54" s="5" t="s">
        <v>3</v>
      </c>
      <c r="AG54" s="5" t="s">
        <v>3</v>
      </c>
      <c r="AH54" s="5" t="s">
        <v>3</v>
      </c>
      <c r="AI54" s="5"/>
      <c r="AJ54" s="5"/>
      <c r="AK54" s="5"/>
      <c r="AL54" s="5"/>
      <c r="AM54" s="5"/>
      <c r="AN54" s="5">
        <v>53679810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1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19" x14ac:dyDescent="0.2">
      <c r="A1">
        <f>ROW(Source!A28)</f>
        <v>28</v>
      </c>
      <c r="B1">
        <v>53679809</v>
      </c>
      <c r="C1">
        <v>53680164</v>
      </c>
      <c r="D1">
        <v>51468204</v>
      </c>
      <c r="E1">
        <v>52</v>
      </c>
      <c r="F1">
        <v>1</v>
      </c>
      <c r="G1">
        <v>1</v>
      </c>
      <c r="H1">
        <v>1</v>
      </c>
      <c r="I1" t="s">
        <v>250</v>
      </c>
      <c r="J1" t="s">
        <v>3</v>
      </c>
      <c r="K1" t="s">
        <v>251</v>
      </c>
      <c r="L1">
        <v>1191</v>
      </c>
      <c r="N1">
        <v>1013</v>
      </c>
      <c r="O1" t="s">
        <v>252</v>
      </c>
      <c r="P1" t="s">
        <v>252</v>
      </c>
      <c r="Q1">
        <v>1</v>
      </c>
      <c r="W1">
        <v>0</v>
      </c>
      <c r="X1">
        <v>-400197608</v>
      </c>
      <c r="Y1">
        <f t="shared" ref="Y1:Y41" si="0">AT1</f>
        <v>35.64</v>
      </c>
      <c r="AA1">
        <v>0</v>
      </c>
      <c r="AB1">
        <v>0</v>
      </c>
      <c r="AC1">
        <v>0</v>
      </c>
      <c r="AD1">
        <v>280.72000000000003</v>
      </c>
      <c r="AE1">
        <v>0</v>
      </c>
      <c r="AF1">
        <v>0</v>
      </c>
      <c r="AG1">
        <v>0</v>
      </c>
      <c r="AH1">
        <v>8.5299999999999994</v>
      </c>
      <c r="AI1">
        <v>1</v>
      </c>
      <c r="AJ1">
        <v>1</v>
      </c>
      <c r="AK1">
        <v>1</v>
      </c>
      <c r="AL1">
        <v>32.909999999999997</v>
      </c>
      <c r="AM1">
        <v>4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35.64</v>
      </c>
      <c r="AU1" t="s">
        <v>3</v>
      </c>
      <c r="AV1">
        <v>1</v>
      </c>
      <c r="AW1">
        <v>2</v>
      </c>
      <c r="AX1">
        <v>53680581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ROUND(Y1*Source!I28,7)</f>
        <v>2.4948000000000001</v>
      </c>
      <c r="CY1">
        <f>AD1</f>
        <v>280.72000000000003</v>
      </c>
      <c r="CZ1">
        <f>AH1</f>
        <v>8.5299999999999994</v>
      </c>
      <c r="DA1">
        <f>AL1</f>
        <v>32.909999999999997</v>
      </c>
      <c r="DB1">
        <f t="shared" ref="DB1:DB41" si="1">ROUND(ROUND(AT1*CZ1,2),0)</f>
        <v>304</v>
      </c>
      <c r="DC1">
        <f t="shared" ref="DC1:DC41" si="2">ROUND(ROUND(AT1*AG1,2),0)</f>
        <v>0</v>
      </c>
      <c r="DD1" t="s">
        <v>3</v>
      </c>
      <c r="DE1" t="s">
        <v>3</v>
      </c>
      <c r="DF1">
        <f>ROUND(ROUND(AE1,0)*CX1,0)</f>
        <v>0</v>
      </c>
      <c r="DG1">
        <f>ROUND(ROUND(AF1,0)*CX1,0)</f>
        <v>0</v>
      </c>
      <c r="DH1">
        <f>ROUND(ROUND(AG1,0)*CX1,0)</f>
        <v>0</v>
      </c>
      <c r="DI1">
        <f>ROUND(ROUND(AH1*AL1,0)*CX1,0)</f>
        <v>701</v>
      </c>
      <c r="DJ1">
        <f>DI1</f>
        <v>701</v>
      </c>
      <c r="DK1">
        <v>0</v>
      </c>
      <c r="DL1" t="s">
        <v>3</v>
      </c>
      <c r="DM1">
        <v>0</v>
      </c>
      <c r="DN1" t="s">
        <v>3</v>
      </c>
      <c r="DO1">
        <v>0</v>
      </c>
    </row>
    <row r="2" spans="1:119" x14ac:dyDescent="0.2">
      <c r="A2">
        <f>ROW(Source!A28)</f>
        <v>28</v>
      </c>
      <c r="B2">
        <v>53679809</v>
      </c>
      <c r="C2">
        <v>53680164</v>
      </c>
      <c r="D2">
        <v>51468391</v>
      </c>
      <c r="E2">
        <v>52</v>
      </c>
      <c r="F2">
        <v>1</v>
      </c>
      <c r="G2">
        <v>1</v>
      </c>
      <c r="H2">
        <v>1</v>
      </c>
      <c r="I2" t="s">
        <v>253</v>
      </c>
      <c r="J2" t="s">
        <v>3</v>
      </c>
      <c r="K2" t="s">
        <v>254</v>
      </c>
      <c r="L2">
        <v>1191</v>
      </c>
      <c r="N2">
        <v>1013</v>
      </c>
      <c r="O2" t="s">
        <v>252</v>
      </c>
      <c r="P2" t="s">
        <v>252</v>
      </c>
      <c r="Q2">
        <v>1</v>
      </c>
      <c r="W2">
        <v>0</v>
      </c>
      <c r="X2">
        <v>-1417349443</v>
      </c>
      <c r="Y2">
        <f t="shared" si="0"/>
        <v>22.48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32.909999999999997</v>
      </c>
      <c r="AL2">
        <v>1</v>
      </c>
      <c r="AM2">
        <v>4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22.48</v>
      </c>
      <c r="AU2" t="s">
        <v>3</v>
      </c>
      <c r="AV2">
        <v>2</v>
      </c>
      <c r="AW2">
        <v>2</v>
      </c>
      <c r="AX2">
        <v>53680582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ROUND(Y2*Source!I28,7)</f>
        <v>1.5736000000000001</v>
      </c>
      <c r="CY2">
        <f>AD2</f>
        <v>0</v>
      </c>
      <c r="CZ2">
        <f>AH2</f>
        <v>0</v>
      </c>
      <c r="DA2">
        <f>AL2</f>
        <v>1</v>
      </c>
      <c r="DB2">
        <f t="shared" si="1"/>
        <v>0</v>
      </c>
      <c r="DC2">
        <f t="shared" si="2"/>
        <v>0</v>
      </c>
      <c r="DD2" t="s">
        <v>3</v>
      </c>
      <c r="DE2" t="s">
        <v>3</v>
      </c>
      <c r="DF2">
        <f>ROUND(ROUND(AE2,0)*CX2,0)</f>
        <v>0</v>
      </c>
      <c r="DG2">
        <f>ROUND(ROUND(AF2,0)*CX2,0)</f>
        <v>0</v>
      </c>
      <c r="DH2">
        <f>ROUND(ROUND(AG2*AK2,0)*CX2,0)</f>
        <v>0</v>
      </c>
      <c r="DI2">
        <f t="shared" ref="DI2:DI8" si="3">ROUND(ROUND(AH2,0)*CX2,0)</f>
        <v>0</v>
      </c>
      <c r="DJ2">
        <f>DI2</f>
        <v>0</v>
      </c>
      <c r="DK2">
        <v>0</v>
      </c>
      <c r="DL2" t="s">
        <v>3</v>
      </c>
      <c r="DM2">
        <v>0</v>
      </c>
      <c r="DN2" t="s">
        <v>3</v>
      </c>
      <c r="DO2">
        <v>0</v>
      </c>
    </row>
    <row r="3" spans="1:119" x14ac:dyDescent="0.2">
      <c r="A3">
        <f>ROW(Source!A28)</f>
        <v>28</v>
      </c>
      <c r="B3">
        <v>53679809</v>
      </c>
      <c r="C3">
        <v>53680164</v>
      </c>
      <c r="D3">
        <v>51629077</v>
      </c>
      <c r="E3">
        <v>1</v>
      </c>
      <c r="F3">
        <v>1</v>
      </c>
      <c r="G3">
        <v>1</v>
      </c>
      <c r="H3">
        <v>2</v>
      </c>
      <c r="I3" t="s">
        <v>255</v>
      </c>
      <c r="J3" t="s">
        <v>256</v>
      </c>
      <c r="K3" t="s">
        <v>257</v>
      </c>
      <c r="L3">
        <v>1368</v>
      </c>
      <c r="N3">
        <v>1011</v>
      </c>
      <c r="O3" t="s">
        <v>258</v>
      </c>
      <c r="P3" t="s">
        <v>258</v>
      </c>
      <c r="Q3">
        <v>1</v>
      </c>
      <c r="W3">
        <v>0</v>
      </c>
      <c r="X3">
        <v>-1176639940</v>
      </c>
      <c r="Y3">
        <f t="shared" si="0"/>
        <v>10.93</v>
      </c>
      <c r="AA3">
        <v>0</v>
      </c>
      <c r="AB3">
        <v>1722.05</v>
      </c>
      <c r="AC3">
        <v>381.76</v>
      </c>
      <c r="AD3">
        <v>0</v>
      </c>
      <c r="AE3">
        <v>0</v>
      </c>
      <c r="AF3">
        <v>138.54</v>
      </c>
      <c r="AG3">
        <v>11.6</v>
      </c>
      <c r="AH3">
        <v>0</v>
      </c>
      <c r="AI3">
        <v>1</v>
      </c>
      <c r="AJ3">
        <v>12.43</v>
      </c>
      <c r="AK3">
        <v>32.909999999999997</v>
      </c>
      <c r="AL3">
        <v>1</v>
      </c>
      <c r="AM3">
        <v>4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10.93</v>
      </c>
      <c r="AU3" t="s">
        <v>3</v>
      </c>
      <c r="AV3">
        <v>0</v>
      </c>
      <c r="AW3">
        <v>2</v>
      </c>
      <c r="AX3">
        <v>53680583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ROUND(Y3*Source!I28,7)</f>
        <v>0.7651</v>
      </c>
      <c r="CY3">
        <f>AB3</f>
        <v>1722.05</v>
      </c>
      <c r="CZ3">
        <f>AF3</f>
        <v>138.54</v>
      </c>
      <c r="DA3">
        <f>AJ3</f>
        <v>12.43</v>
      </c>
      <c r="DB3">
        <f t="shared" si="1"/>
        <v>1514</v>
      </c>
      <c r="DC3">
        <f t="shared" si="2"/>
        <v>127</v>
      </c>
      <c r="DD3" t="s">
        <v>3</v>
      </c>
      <c r="DE3" t="s">
        <v>3</v>
      </c>
      <c r="DF3">
        <f>ROUND(ROUND(AE3,0)*CX3,0)</f>
        <v>0</v>
      </c>
      <c r="DG3">
        <f>ROUND(ROUND(AF3*AJ3,0)*CX3,0)</f>
        <v>1318</v>
      </c>
      <c r="DH3">
        <f>ROUND(ROUND(AG3*AK3,0)*CX3,0)</f>
        <v>292</v>
      </c>
      <c r="DI3">
        <f t="shared" si="3"/>
        <v>0</v>
      </c>
      <c r="DJ3">
        <f>DG3</f>
        <v>1318</v>
      </c>
      <c r="DK3">
        <v>0</v>
      </c>
      <c r="DL3" t="s">
        <v>3</v>
      </c>
      <c r="DM3">
        <v>0</v>
      </c>
      <c r="DN3" t="s">
        <v>3</v>
      </c>
      <c r="DO3">
        <v>0</v>
      </c>
    </row>
    <row r="4" spans="1:119" x14ac:dyDescent="0.2">
      <c r="A4">
        <f>ROW(Source!A28)</f>
        <v>28</v>
      </c>
      <c r="B4">
        <v>53679809</v>
      </c>
      <c r="C4">
        <v>53680164</v>
      </c>
      <c r="D4">
        <v>51630236</v>
      </c>
      <c r="E4">
        <v>1</v>
      </c>
      <c r="F4">
        <v>1</v>
      </c>
      <c r="G4">
        <v>1</v>
      </c>
      <c r="H4">
        <v>2</v>
      </c>
      <c r="I4" t="s">
        <v>259</v>
      </c>
      <c r="J4" t="s">
        <v>260</v>
      </c>
      <c r="K4" t="s">
        <v>261</v>
      </c>
      <c r="L4">
        <v>1368</v>
      </c>
      <c r="N4">
        <v>1011</v>
      </c>
      <c r="O4" t="s">
        <v>258</v>
      </c>
      <c r="P4" t="s">
        <v>258</v>
      </c>
      <c r="Q4">
        <v>1</v>
      </c>
      <c r="W4">
        <v>0</v>
      </c>
      <c r="X4">
        <v>-922865642</v>
      </c>
      <c r="Y4">
        <f t="shared" si="0"/>
        <v>10.74</v>
      </c>
      <c r="AA4">
        <v>0</v>
      </c>
      <c r="AB4">
        <v>2156.73</v>
      </c>
      <c r="AC4">
        <v>444.29</v>
      </c>
      <c r="AD4">
        <v>0</v>
      </c>
      <c r="AE4">
        <v>0</v>
      </c>
      <c r="AF4">
        <v>173.51</v>
      </c>
      <c r="AG4">
        <v>13.5</v>
      </c>
      <c r="AH4">
        <v>0</v>
      </c>
      <c r="AI4">
        <v>1</v>
      </c>
      <c r="AJ4">
        <v>12.43</v>
      </c>
      <c r="AK4">
        <v>32.909999999999997</v>
      </c>
      <c r="AL4">
        <v>1</v>
      </c>
      <c r="AM4">
        <v>4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10.74</v>
      </c>
      <c r="AU4" t="s">
        <v>3</v>
      </c>
      <c r="AV4">
        <v>0</v>
      </c>
      <c r="AW4">
        <v>2</v>
      </c>
      <c r="AX4">
        <v>53680584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ROUND(Y4*Source!I28,7)</f>
        <v>0.75180000000000002</v>
      </c>
      <c r="CY4">
        <f>AB4</f>
        <v>2156.73</v>
      </c>
      <c r="CZ4">
        <f>AF4</f>
        <v>173.51</v>
      </c>
      <c r="DA4">
        <f>AJ4</f>
        <v>12.43</v>
      </c>
      <c r="DB4">
        <f t="shared" si="1"/>
        <v>1864</v>
      </c>
      <c r="DC4">
        <f t="shared" si="2"/>
        <v>145</v>
      </c>
      <c r="DD4" t="s">
        <v>3</v>
      </c>
      <c r="DE4" t="s">
        <v>3</v>
      </c>
      <c r="DF4">
        <f>ROUND(ROUND(AE4,0)*CX4,0)</f>
        <v>0</v>
      </c>
      <c r="DG4">
        <f>ROUND(ROUND(AF4*AJ4,0)*CX4,0)</f>
        <v>1622</v>
      </c>
      <c r="DH4">
        <f>ROUND(ROUND(AG4*AK4,0)*CX4,0)</f>
        <v>334</v>
      </c>
      <c r="DI4">
        <f t="shared" si="3"/>
        <v>0</v>
      </c>
      <c r="DJ4">
        <f>DG4</f>
        <v>1622</v>
      </c>
      <c r="DK4">
        <v>0</v>
      </c>
      <c r="DL4" t="s">
        <v>3</v>
      </c>
      <c r="DM4">
        <v>0</v>
      </c>
      <c r="DN4" t="s">
        <v>3</v>
      </c>
      <c r="DO4">
        <v>0</v>
      </c>
    </row>
    <row r="5" spans="1:119" x14ac:dyDescent="0.2">
      <c r="A5">
        <f>ROW(Source!A28)</f>
        <v>28</v>
      </c>
      <c r="B5">
        <v>53679809</v>
      </c>
      <c r="C5">
        <v>53680164</v>
      </c>
      <c r="D5">
        <v>51630243</v>
      </c>
      <c r="E5">
        <v>1</v>
      </c>
      <c r="F5">
        <v>1</v>
      </c>
      <c r="G5">
        <v>1</v>
      </c>
      <c r="H5">
        <v>2</v>
      </c>
      <c r="I5" t="s">
        <v>262</v>
      </c>
      <c r="J5" t="s">
        <v>263</v>
      </c>
      <c r="K5" t="s">
        <v>264</v>
      </c>
      <c r="L5">
        <v>1368</v>
      </c>
      <c r="N5">
        <v>1011</v>
      </c>
      <c r="O5" t="s">
        <v>258</v>
      </c>
      <c r="P5" t="s">
        <v>258</v>
      </c>
      <c r="Q5">
        <v>1</v>
      </c>
      <c r="W5">
        <v>0</v>
      </c>
      <c r="X5">
        <v>-922938010</v>
      </c>
      <c r="Y5">
        <f t="shared" si="0"/>
        <v>0.81</v>
      </c>
      <c r="AA5">
        <v>0</v>
      </c>
      <c r="AB5">
        <v>816.78</v>
      </c>
      <c r="AC5">
        <v>381.76</v>
      </c>
      <c r="AD5">
        <v>0</v>
      </c>
      <c r="AE5">
        <v>0</v>
      </c>
      <c r="AF5">
        <v>65.709999999999994</v>
      </c>
      <c r="AG5">
        <v>11.6</v>
      </c>
      <c r="AH5">
        <v>0</v>
      </c>
      <c r="AI5">
        <v>1</v>
      </c>
      <c r="AJ5">
        <v>12.43</v>
      </c>
      <c r="AK5">
        <v>32.909999999999997</v>
      </c>
      <c r="AL5">
        <v>1</v>
      </c>
      <c r="AM5">
        <v>4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0.81</v>
      </c>
      <c r="AU5" t="s">
        <v>3</v>
      </c>
      <c r="AV5">
        <v>0</v>
      </c>
      <c r="AW5">
        <v>2</v>
      </c>
      <c r="AX5">
        <v>53680585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ROUND(Y5*Source!I28,7)</f>
        <v>5.67E-2</v>
      </c>
      <c r="CY5">
        <f>AB5</f>
        <v>816.78</v>
      </c>
      <c r="CZ5">
        <f>AF5</f>
        <v>65.709999999999994</v>
      </c>
      <c r="DA5">
        <f>AJ5</f>
        <v>12.43</v>
      </c>
      <c r="DB5">
        <f t="shared" si="1"/>
        <v>53</v>
      </c>
      <c r="DC5">
        <f t="shared" si="2"/>
        <v>9</v>
      </c>
      <c r="DD5" t="s">
        <v>3</v>
      </c>
      <c r="DE5" t="s">
        <v>3</v>
      </c>
      <c r="DF5">
        <f>ROUND(ROUND(AE5,0)*CX5,0)</f>
        <v>0</v>
      </c>
      <c r="DG5">
        <f>ROUND(ROUND(AF5*AJ5,0)*CX5,0)</f>
        <v>46</v>
      </c>
      <c r="DH5">
        <f>ROUND(ROUND(AG5*AK5,0)*CX5,0)</f>
        <v>22</v>
      </c>
      <c r="DI5">
        <f t="shared" si="3"/>
        <v>0</v>
      </c>
      <c r="DJ5">
        <f>DG5</f>
        <v>46</v>
      </c>
      <c r="DK5">
        <v>0</v>
      </c>
      <c r="DL5" t="s">
        <v>3</v>
      </c>
      <c r="DM5">
        <v>0</v>
      </c>
      <c r="DN5" t="s">
        <v>3</v>
      </c>
      <c r="DO5">
        <v>0</v>
      </c>
    </row>
    <row r="6" spans="1:119" x14ac:dyDescent="0.2">
      <c r="A6">
        <f>ROW(Source!A28)</f>
        <v>28</v>
      </c>
      <c r="B6">
        <v>53679809</v>
      </c>
      <c r="C6">
        <v>53680164</v>
      </c>
      <c r="D6">
        <v>51469071</v>
      </c>
      <c r="E6">
        <v>52</v>
      </c>
      <c r="F6">
        <v>1</v>
      </c>
      <c r="G6">
        <v>1</v>
      </c>
      <c r="H6">
        <v>3</v>
      </c>
      <c r="I6" t="s">
        <v>26</v>
      </c>
      <c r="J6" t="s">
        <v>3</v>
      </c>
      <c r="K6" t="s">
        <v>27</v>
      </c>
      <c r="L6">
        <v>1339</v>
      </c>
      <c r="N6">
        <v>1007</v>
      </c>
      <c r="O6" t="s">
        <v>28</v>
      </c>
      <c r="P6" t="s">
        <v>28</v>
      </c>
      <c r="Q6">
        <v>1</v>
      </c>
      <c r="W6">
        <v>0</v>
      </c>
      <c r="X6">
        <v>-157982121</v>
      </c>
      <c r="Y6">
        <f t="shared" si="0"/>
        <v>6.34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9.3000000000000007</v>
      </c>
      <c r="AJ6">
        <v>1</v>
      </c>
      <c r="AK6">
        <v>1</v>
      </c>
      <c r="AL6">
        <v>1</v>
      </c>
      <c r="AM6">
        <v>0</v>
      </c>
      <c r="AN6">
        <v>0</v>
      </c>
      <c r="AO6">
        <v>0</v>
      </c>
      <c r="AP6">
        <v>1</v>
      </c>
      <c r="AQ6">
        <v>0</v>
      </c>
      <c r="AR6">
        <v>0</v>
      </c>
      <c r="AS6" t="s">
        <v>3</v>
      </c>
      <c r="AT6">
        <v>6.34</v>
      </c>
      <c r="AU6" t="s">
        <v>3</v>
      </c>
      <c r="AV6">
        <v>0</v>
      </c>
      <c r="AW6">
        <v>2</v>
      </c>
      <c r="AX6">
        <v>53680586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ROUND(Y6*Source!I28,7)</f>
        <v>0.44379999999999997</v>
      </c>
      <c r="CY6">
        <f>AA6</f>
        <v>0</v>
      </c>
      <c r="CZ6">
        <f>AE6</f>
        <v>0</v>
      </c>
      <c r="DA6">
        <f>AI6</f>
        <v>9.3000000000000007</v>
      </c>
      <c r="DB6">
        <f t="shared" si="1"/>
        <v>0</v>
      </c>
      <c r="DC6">
        <f t="shared" si="2"/>
        <v>0</v>
      </c>
      <c r="DD6" t="s">
        <v>3</v>
      </c>
      <c r="DE6" t="s">
        <v>3</v>
      </c>
      <c r="DF6">
        <f>ROUND(ROUND(AE6*AI6,0)*CX6,0)</f>
        <v>0</v>
      </c>
      <c r="DG6">
        <f>ROUND(ROUND(AF6,0)*CX6,0)</f>
        <v>0</v>
      </c>
      <c r="DH6">
        <f>ROUND(ROUND(AG6,0)*CX6,0)</f>
        <v>0</v>
      </c>
      <c r="DI6">
        <f t="shared" si="3"/>
        <v>0</v>
      </c>
      <c r="DJ6">
        <f>DF6</f>
        <v>0</v>
      </c>
      <c r="DK6">
        <v>0</v>
      </c>
      <c r="DL6" t="s">
        <v>3</v>
      </c>
      <c r="DM6">
        <v>0</v>
      </c>
      <c r="DN6" t="s">
        <v>3</v>
      </c>
      <c r="DO6">
        <v>0</v>
      </c>
    </row>
    <row r="7" spans="1:119" x14ac:dyDescent="0.2">
      <c r="A7">
        <f>ROW(Source!A28)</f>
        <v>28</v>
      </c>
      <c r="B7">
        <v>53679809</v>
      </c>
      <c r="C7">
        <v>53680164</v>
      </c>
      <c r="D7">
        <v>51469906</v>
      </c>
      <c r="E7">
        <v>52</v>
      </c>
      <c r="F7">
        <v>1</v>
      </c>
      <c r="G7">
        <v>1</v>
      </c>
      <c r="H7">
        <v>3</v>
      </c>
      <c r="I7" t="s">
        <v>30</v>
      </c>
      <c r="J7" t="s">
        <v>3</v>
      </c>
      <c r="K7" t="s">
        <v>31</v>
      </c>
      <c r="L7">
        <v>1371</v>
      </c>
      <c r="N7">
        <v>1013</v>
      </c>
      <c r="O7" t="s">
        <v>32</v>
      </c>
      <c r="P7" t="s">
        <v>32</v>
      </c>
      <c r="Q7">
        <v>1</v>
      </c>
      <c r="W7">
        <v>0</v>
      </c>
      <c r="X7">
        <v>888337275</v>
      </c>
      <c r="Y7">
        <f t="shared" si="0"/>
        <v>100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9.3000000000000007</v>
      </c>
      <c r="AJ7">
        <v>1</v>
      </c>
      <c r="AK7">
        <v>1</v>
      </c>
      <c r="AL7">
        <v>1</v>
      </c>
      <c r="AM7">
        <v>0</v>
      </c>
      <c r="AN7">
        <v>0</v>
      </c>
      <c r="AO7">
        <v>0</v>
      </c>
      <c r="AP7">
        <v>1</v>
      </c>
      <c r="AQ7">
        <v>0</v>
      </c>
      <c r="AR7">
        <v>0</v>
      </c>
      <c r="AS7" t="s">
        <v>3</v>
      </c>
      <c r="AT7">
        <v>100</v>
      </c>
      <c r="AU7" t="s">
        <v>3</v>
      </c>
      <c r="AV7">
        <v>0</v>
      </c>
      <c r="AW7">
        <v>2</v>
      </c>
      <c r="AX7">
        <v>53680587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ROUND(Y7*Source!I28,7)</f>
        <v>7</v>
      </c>
      <c r="CY7">
        <f>AA7</f>
        <v>0</v>
      </c>
      <c r="CZ7">
        <f>AE7</f>
        <v>0</v>
      </c>
      <c r="DA7">
        <f>AI7</f>
        <v>9.3000000000000007</v>
      </c>
      <c r="DB7">
        <f t="shared" si="1"/>
        <v>0</v>
      </c>
      <c r="DC7">
        <f t="shared" si="2"/>
        <v>0</v>
      </c>
      <c r="DD7" t="s">
        <v>3</v>
      </c>
      <c r="DE7" t="s">
        <v>3</v>
      </c>
      <c r="DF7">
        <f>ROUND(ROUND(AE7*AI7,0)*CX7,0)</f>
        <v>0</v>
      </c>
      <c r="DG7">
        <f>ROUND(ROUND(AF7,0)*CX7,0)</f>
        <v>0</v>
      </c>
      <c r="DH7">
        <f>ROUND(ROUND(AG7,0)*CX7,0)</f>
        <v>0</v>
      </c>
      <c r="DI7">
        <f t="shared" si="3"/>
        <v>0</v>
      </c>
      <c r="DJ7">
        <f>DF7</f>
        <v>0</v>
      </c>
      <c r="DK7">
        <v>0</v>
      </c>
      <c r="DL7" t="s">
        <v>3</v>
      </c>
      <c r="DM7">
        <v>0</v>
      </c>
      <c r="DN7" t="s">
        <v>3</v>
      </c>
      <c r="DO7">
        <v>0</v>
      </c>
    </row>
    <row r="8" spans="1:119" x14ac:dyDescent="0.2">
      <c r="A8">
        <f>ROW(Source!A28)</f>
        <v>28</v>
      </c>
      <c r="B8">
        <v>53679809</v>
      </c>
      <c r="C8">
        <v>53680164</v>
      </c>
      <c r="D8">
        <v>51503352</v>
      </c>
      <c r="E8">
        <v>1</v>
      </c>
      <c r="F8">
        <v>1</v>
      </c>
      <c r="G8">
        <v>1</v>
      </c>
      <c r="H8">
        <v>3</v>
      </c>
      <c r="I8" t="s">
        <v>265</v>
      </c>
      <c r="J8" t="s">
        <v>266</v>
      </c>
      <c r="K8" t="s">
        <v>267</v>
      </c>
      <c r="L8">
        <v>1339</v>
      </c>
      <c r="N8">
        <v>1007</v>
      </c>
      <c r="O8" t="s">
        <v>28</v>
      </c>
      <c r="P8" t="s">
        <v>28</v>
      </c>
      <c r="Q8">
        <v>1</v>
      </c>
      <c r="W8">
        <v>0</v>
      </c>
      <c r="X8">
        <v>-979330136</v>
      </c>
      <c r="Y8">
        <f t="shared" si="0"/>
        <v>0.13975000000000001</v>
      </c>
      <c r="AA8">
        <v>15512.4</v>
      </c>
      <c r="AB8">
        <v>0</v>
      </c>
      <c r="AC8">
        <v>0</v>
      </c>
      <c r="AD8">
        <v>0</v>
      </c>
      <c r="AE8">
        <v>1668</v>
      </c>
      <c r="AF8">
        <v>0</v>
      </c>
      <c r="AG8">
        <v>0</v>
      </c>
      <c r="AH8">
        <v>0</v>
      </c>
      <c r="AI8">
        <v>9.3000000000000007</v>
      </c>
      <c r="AJ8">
        <v>1</v>
      </c>
      <c r="AK8">
        <v>1</v>
      </c>
      <c r="AL8">
        <v>1</v>
      </c>
      <c r="AM8">
        <v>4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3</v>
      </c>
      <c r="AT8">
        <v>0.13975000000000001</v>
      </c>
      <c r="AU8" t="s">
        <v>3</v>
      </c>
      <c r="AV8">
        <v>0</v>
      </c>
      <c r="AW8">
        <v>2</v>
      </c>
      <c r="AX8">
        <v>53680588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ROUND(Y8*Source!I28,7)</f>
        <v>9.7824999999999995E-3</v>
      </c>
      <c r="CY8">
        <f>AA8</f>
        <v>15512.4</v>
      </c>
      <c r="CZ8">
        <f>AE8</f>
        <v>1668</v>
      </c>
      <c r="DA8">
        <f>AI8</f>
        <v>9.3000000000000007</v>
      </c>
      <c r="DB8">
        <f t="shared" si="1"/>
        <v>233</v>
      </c>
      <c r="DC8">
        <f t="shared" si="2"/>
        <v>0</v>
      </c>
      <c r="DD8" t="s">
        <v>3</v>
      </c>
      <c r="DE8" t="s">
        <v>3</v>
      </c>
      <c r="DF8">
        <f>ROUND(ROUND(AE8*AI8,0)*CX8,0)</f>
        <v>152</v>
      </c>
      <c r="DG8">
        <f>ROUND(ROUND(AF8,0)*CX8,0)</f>
        <v>0</v>
      </c>
      <c r="DH8">
        <f>ROUND(ROUND(AG8,0)*CX8,0)</f>
        <v>0</v>
      </c>
      <c r="DI8">
        <f t="shared" si="3"/>
        <v>0</v>
      </c>
      <c r="DJ8">
        <f>DF8</f>
        <v>152</v>
      </c>
      <c r="DK8">
        <v>0</v>
      </c>
      <c r="DL8" t="s">
        <v>3</v>
      </c>
      <c r="DM8">
        <v>0</v>
      </c>
      <c r="DN8" t="s">
        <v>3</v>
      </c>
      <c r="DO8">
        <v>0</v>
      </c>
    </row>
    <row r="9" spans="1:119" x14ac:dyDescent="0.2">
      <c r="A9">
        <f>ROW(Source!A33)</f>
        <v>33</v>
      </c>
      <c r="B9">
        <v>53679809</v>
      </c>
      <c r="C9">
        <v>53680181</v>
      </c>
      <c r="D9">
        <v>51468218</v>
      </c>
      <c r="E9">
        <v>52</v>
      </c>
      <c r="F9">
        <v>1</v>
      </c>
      <c r="G9">
        <v>1</v>
      </c>
      <c r="H9">
        <v>1</v>
      </c>
      <c r="I9" t="s">
        <v>268</v>
      </c>
      <c r="J9" t="s">
        <v>3</v>
      </c>
      <c r="K9" t="s">
        <v>269</v>
      </c>
      <c r="L9">
        <v>1191</v>
      </c>
      <c r="N9">
        <v>1013</v>
      </c>
      <c r="O9" t="s">
        <v>252</v>
      </c>
      <c r="P9" t="s">
        <v>252</v>
      </c>
      <c r="Q9">
        <v>1</v>
      </c>
      <c r="W9">
        <v>0</v>
      </c>
      <c r="X9">
        <v>-814890593</v>
      </c>
      <c r="Y9">
        <f t="shared" si="0"/>
        <v>138</v>
      </c>
      <c r="AA9">
        <v>0</v>
      </c>
      <c r="AB9">
        <v>0</v>
      </c>
      <c r="AC9">
        <v>0</v>
      </c>
      <c r="AD9">
        <v>295.2</v>
      </c>
      <c r="AE9">
        <v>0</v>
      </c>
      <c r="AF9">
        <v>0</v>
      </c>
      <c r="AG9">
        <v>0</v>
      </c>
      <c r="AH9">
        <v>8.9700000000000006</v>
      </c>
      <c r="AI9">
        <v>1</v>
      </c>
      <c r="AJ9">
        <v>1</v>
      </c>
      <c r="AK9">
        <v>1</v>
      </c>
      <c r="AL9">
        <v>32.909999999999997</v>
      </c>
      <c r="AM9">
        <v>4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138</v>
      </c>
      <c r="AU9" t="s">
        <v>3</v>
      </c>
      <c r="AV9">
        <v>1</v>
      </c>
      <c r="AW9">
        <v>2</v>
      </c>
      <c r="AX9">
        <v>53680189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ROUND(Y9*Source!I33,7)</f>
        <v>47.61</v>
      </c>
      <c r="CY9">
        <f>AD9</f>
        <v>295.2</v>
      </c>
      <c r="CZ9">
        <f>AH9</f>
        <v>8.9700000000000006</v>
      </c>
      <c r="DA9">
        <f>AL9</f>
        <v>32.909999999999997</v>
      </c>
      <c r="DB9">
        <f t="shared" si="1"/>
        <v>1238</v>
      </c>
      <c r="DC9">
        <f t="shared" si="2"/>
        <v>0</v>
      </c>
      <c r="DD9" t="s">
        <v>3</v>
      </c>
      <c r="DE9" t="s">
        <v>3</v>
      </c>
      <c r="DF9">
        <f>ROUND(ROUND(AE9,0)*CX9,0)</f>
        <v>0</v>
      </c>
      <c r="DG9">
        <f>ROUND(ROUND(AF9,0)*CX9,0)</f>
        <v>0</v>
      </c>
      <c r="DH9">
        <f>ROUND(ROUND(AG9,0)*CX9,0)</f>
        <v>0</v>
      </c>
      <c r="DI9">
        <f>ROUND(ROUND(AH9*AL9,0)*CX9,0)</f>
        <v>14045</v>
      </c>
      <c r="DJ9">
        <f>DI9</f>
        <v>14045</v>
      </c>
      <c r="DK9">
        <v>0</v>
      </c>
      <c r="DL9" t="s">
        <v>3</v>
      </c>
      <c r="DM9">
        <v>0</v>
      </c>
      <c r="DN9" t="s">
        <v>3</v>
      </c>
      <c r="DO9">
        <v>0</v>
      </c>
    </row>
    <row r="10" spans="1:119" x14ac:dyDescent="0.2">
      <c r="A10">
        <f>ROW(Source!A33)</f>
        <v>33</v>
      </c>
      <c r="B10">
        <v>53679809</v>
      </c>
      <c r="C10">
        <v>53680181</v>
      </c>
      <c r="D10">
        <v>51468391</v>
      </c>
      <c r="E10">
        <v>52</v>
      </c>
      <c r="F10">
        <v>1</v>
      </c>
      <c r="G10">
        <v>1</v>
      </c>
      <c r="H10">
        <v>1</v>
      </c>
      <c r="I10" t="s">
        <v>253</v>
      </c>
      <c r="J10" t="s">
        <v>3</v>
      </c>
      <c r="K10" t="s">
        <v>254</v>
      </c>
      <c r="L10">
        <v>1191</v>
      </c>
      <c r="N10">
        <v>1013</v>
      </c>
      <c r="O10" t="s">
        <v>252</v>
      </c>
      <c r="P10" t="s">
        <v>252</v>
      </c>
      <c r="Q10">
        <v>1</v>
      </c>
      <c r="W10">
        <v>0</v>
      </c>
      <c r="X10">
        <v>-1417349443</v>
      </c>
      <c r="Y10">
        <f t="shared" si="0"/>
        <v>5.19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1</v>
      </c>
      <c r="AJ10">
        <v>1</v>
      </c>
      <c r="AK10">
        <v>32.909999999999997</v>
      </c>
      <c r="AL10">
        <v>1</v>
      </c>
      <c r="AM10">
        <v>4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5.19</v>
      </c>
      <c r="AU10" t="s">
        <v>3</v>
      </c>
      <c r="AV10">
        <v>2</v>
      </c>
      <c r="AW10">
        <v>2</v>
      </c>
      <c r="AX10">
        <v>53680190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ROUND(Y10*Source!I33,7)</f>
        <v>1.7905500000000001</v>
      </c>
      <c r="CY10">
        <f>AD10</f>
        <v>0</v>
      </c>
      <c r="CZ10">
        <f>AH10</f>
        <v>0</v>
      </c>
      <c r="DA10">
        <f>AL10</f>
        <v>1</v>
      </c>
      <c r="DB10">
        <f t="shared" si="1"/>
        <v>0</v>
      </c>
      <c r="DC10">
        <f t="shared" si="2"/>
        <v>0</v>
      </c>
      <c r="DD10" t="s">
        <v>3</v>
      </c>
      <c r="DE10" t="s">
        <v>3</v>
      </c>
      <c r="DF10">
        <f>ROUND(ROUND(AE10,0)*CX10,0)</f>
        <v>0</v>
      </c>
      <c r="DG10">
        <f>ROUND(ROUND(AF10,0)*CX10,0)</f>
        <v>0</v>
      </c>
      <c r="DH10">
        <f>ROUND(ROUND(AG10*AK10,0)*CX10,0)</f>
        <v>0</v>
      </c>
      <c r="DI10">
        <f t="shared" ref="DI10:DI15" si="4">ROUND(ROUND(AH10,0)*CX10,0)</f>
        <v>0</v>
      </c>
      <c r="DJ10">
        <f>DI10</f>
        <v>0</v>
      </c>
      <c r="DK10">
        <v>0</v>
      </c>
      <c r="DL10" t="s">
        <v>3</v>
      </c>
      <c r="DM10">
        <v>0</v>
      </c>
      <c r="DN10" t="s">
        <v>3</v>
      </c>
      <c r="DO10">
        <v>0</v>
      </c>
    </row>
    <row r="11" spans="1:119" x14ac:dyDescent="0.2">
      <c r="A11">
        <f>ROW(Source!A33)</f>
        <v>33</v>
      </c>
      <c r="B11">
        <v>53679809</v>
      </c>
      <c r="C11">
        <v>53680181</v>
      </c>
      <c r="D11">
        <v>51629223</v>
      </c>
      <c r="E11">
        <v>1</v>
      </c>
      <c r="F11">
        <v>1</v>
      </c>
      <c r="G11">
        <v>1</v>
      </c>
      <c r="H11">
        <v>2</v>
      </c>
      <c r="I11" t="s">
        <v>270</v>
      </c>
      <c r="J11" t="s">
        <v>271</v>
      </c>
      <c r="K11" t="s">
        <v>272</v>
      </c>
      <c r="L11">
        <v>1368</v>
      </c>
      <c r="N11">
        <v>1011</v>
      </c>
      <c r="O11" t="s">
        <v>258</v>
      </c>
      <c r="P11" t="s">
        <v>258</v>
      </c>
      <c r="Q11">
        <v>1</v>
      </c>
      <c r="W11">
        <v>0</v>
      </c>
      <c r="X11">
        <v>-1587540238</v>
      </c>
      <c r="Y11">
        <f t="shared" si="0"/>
        <v>4.3600000000000003</v>
      </c>
      <c r="AA11">
        <v>0</v>
      </c>
      <c r="AB11">
        <v>1434.42</v>
      </c>
      <c r="AC11">
        <v>444.29</v>
      </c>
      <c r="AD11">
        <v>0</v>
      </c>
      <c r="AE11">
        <v>0</v>
      </c>
      <c r="AF11">
        <v>115.4</v>
      </c>
      <c r="AG11">
        <v>13.5</v>
      </c>
      <c r="AH11">
        <v>0</v>
      </c>
      <c r="AI11">
        <v>1</v>
      </c>
      <c r="AJ11">
        <v>12.43</v>
      </c>
      <c r="AK11">
        <v>32.909999999999997</v>
      </c>
      <c r="AL11">
        <v>1</v>
      </c>
      <c r="AM11">
        <v>4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4.3600000000000003</v>
      </c>
      <c r="AU11" t="s">
        <v>3</v>
      </c>
      <c r="AV11">
        <v>0</v>
      </c>
      <c r="AW11">
        <v>2</v>
      </c>
      <c r="AX11">
        <v>53680191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ROUND(Y11*Source!I33,7)</f>
        <v>1.5042</v>
      </c>
      <c r="CY11">
        <f>AB11</f>
        <v>1434.42</v>
      </c>
      <c r="CZ11">
        <f>AF11</f>
        <v>115.4</v>
      </c>
      <c r="DA11">
        <f>AJ11</f>
        <v>12.43</v>
      </c>
      <c r="DB11">
        <f t="shared" si="1"/>
        <v>503</v>
      </c>
      <c r="DC11">
        <f t="shared" si="2"/>
        <v>59</v>
      </c>
      <c r="DD11" t="s">
        <v>3</v>
      </c>
      <c r="DE11" t="s">
        <v>3</v>
      </c>
      <c r="DF11">
        <f>ROUND(ROUND(AE11,0)*CX11,0)</f>
        <v>0</v>
      </c>
      <c r="DG11">
        <f>ROUND(ROUND(AF11*AJ11,0)*CX11,0)</f>
        <v>2157</v>
      </c>
      <c r="DH11">
        <f>ROUND(ROUND(AG11*AK11,0)*CX11,0)</f>
        <v>668</v>
      </c>
      <c r="DI11">
        <f t="shared" si="4"/>
        <v>0</v>
      </c>
      <c r="DJ11">
        <f>DG11</f>
        <v>2157</v>
      </c>
      <c r="DK11">
        <v>0</v>
      </c>
      <c r="DL11" t="s">
        <v>3</v>
      </c>
      <c r="DM11">
        <v>0</v>
      </c>
      <c r="DN11" t="s">
        <v>3</v>
      </c>
      <c r="DO11">
        <v>0</v>
      </c>
    </row>
    <row r="12" spans="1:119" x14ac:dyDescent="0.2">
      <c r="A12">
        <f>ROW(Source!A33)</f>
        <v>33</v>
      </c>
      <c r="B12">
        <v>53679809</v>
      </c>
      <c r="C12">
        <v>53680181</v>
      </c>
      <c r="D12">
        <v>51630243</v>
      </c>
      <c r="E12">
        <v>1</v>
      </c>
      <c r="F12">
        <v>1</v>
      </c>
      <c r="G12">
        <v>1</v>
      </c>
      <c r="H12">
        <v>2</v>
      </c>
      <c r="I12" t="s">
        <v>262</v>
      </c>
      <c r="J12" t="s">
        <v>263</v>
      </c>
      <c r="K12" t="s">
        <v>264</v>
      </c>
      <c r="L12">
        <v>1368</v>
      </c>
      <c r="N12">
        <v>1011</v>
      </c>
      <c r="O12" t="s">
        <v>258</v>
      </c>
      <c r="P12" t="s">
        <v>258</v>
      </c>
      <c r="Q12">
        <v>1</v>
      </c>
      <c r="W12">
        <v>0</v>
      </c>
      <c r="X12">
        <v>-922938010</v>
      </c>
      <c r="Y12">
        <f t="shared" si="0"/>
        <v>0.83</v>
      </c>
      <c r="AA12">
        <v>0</v>
      </c>
      <c r="AB12">
        <v>816.78</v>
      </c>
      <c r="AC12">
        <v>381.76</v>
      </c>
      <c r="AD12">
        <v>0</v>
      </c>
      <c r="AE12">
        <v>0</v>
      </c>
      <c r="AF12">
        <v>65.709999999999994</v>
      </c>
      <c r="AG12">
        <v>11.6</v>
      </c>
      <c r="AH12">
        <v>0</v>
      </c>
      <c r="AI12">
        <v>1</v>
      </c>
      <c r="AJ12">
        <v>12.43</v>
      </c>
      <c r="AK12">
        <v>32.909999999999997</v>
      </c>
      <c r="AL12">
        <v>1</v>
      </c>
      <c r="AM12">
        <v>4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0.83</v>
      </c>
      <c r="AU12" t="s">
        <v>3</v>
      </c>
      <c r="AV12">
        <v>0</v>
      </c>
      <c r="AW12">
        <v>2</v>
      </c>
      <c r="AX12">
        <v>53680192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ROUND(Y12*Source!I33,7)</f>
        <v>0.28634999999999999</v>
      </c>
      <c r="CY12">
        <f>AB12</f>
        <v>816.78</v>
      </c>
      <c r="CZ12">
        <f>AF12</f>
        <v>65.709999999999994</v>
      </c>
      <c r="DA12">
        <f>AJ12</f>
        <v>12.43</v>
      </c>
      <c r="DB12">
        <f t="shared" si="1"/>
        <v>55</v>
      </c>
      <c r="DC12">
        <f t="shared" si="2"/>
        <v>10</v>
      </c>
      <c r="DD12" t="s">
        <v>3</v>
      </c>
      <c r="DE12" t="s">
        <v>3</v>
      </c>
      <c r="DF12">
        <f>ROUND(ROUND(AE12,0)*CX12,0)</f>
        <v>0</v>
      </c>
      <c r="DG12">
        <f>ROUND(ROUND(AF12*AJ12,0)*CX12,0)</f>
        <v>234</v>
      </c>
      <c r="DH12">
        <f>ROUND(ROUND(AG12*AK12,0)*CX12,0)</f>
        <v>109</v>
      </c>
      <c r="DI12">
        <f t="shared" si="4"/>
        <v>0</v>
      </c>
      <c r="DJ12">
        <f>DG12</f>
        <v>234</v>
      </c>
      <c r="DK12">
        <v>0</v>
      </c>
      <c r="DL12" t="s">
        <v>3</v>
      </c>
      <c r="DM12">
        <v>0</v>
      </c>
      <c r="DN12" t="s">
        <v>3</v>
      </c>
      <c r="DO12">
        <v>0</v>
      </c>
    </row>
    <row r="13" spans="1:119" x14ac:dyDescent="0.2">
      <c r="A13">
        <f>ROW(Source!A33)</f>
        <v>33</v>
      </c>
      <c r="B13">
        <v>53679809</v>
      </c>
      <c r="C13">
        <v>53680181</v>
      </c>
      <c r="D13">
        <v>51481561</v>
      </c>
      <c r="E13">
        <v>1</v>
      </c>
      <c r="F13">
        <v>1</v>
      </c>
      <c r="G13">
        <v>1</v>
      </c>
      <c r="H13">
        <v>3</v>
      </c>
      <c r="I13" t="s">
        <v>273</v>
      </c>
      <c r="J13" t="s">
        <v>274</v>
      </c>
      <c r="K13" t="s">
        <v>275</v>
      </c>
      <c r="L13">
        <v>1346</v>
      </c>
      <c r="N13">
        <v>1009</v>
      </c>
      <c r="O13" t="s">
        <v>276</v>
      </c>
      <c r="P13" t="s">
        <v>276</v>
      </c>
      <c r="Q13">
        <v>1</v>
      </c>
      <c r="W13">
        <v>0</v>
      </c>
      <c r="X13">
        <v>1745584772</v>
      </c>
      <c r="Y13">
        <f t="shared" si="0"/>
        <v>7.3</v>
      </c>
      <c r="AA13">
        <v>84.07</v>
      </c>
      <c r="AB13">
        <v>0</v>
      </c>
      <c r="AC13">
        <v>0</v>
      </c>
      <c r="AD13">
        <v>0</v>
      </c>
      <c r="AE13">
        <v>9.0399999999999991</v>
      </c>
      <c r="AF13">
        <v>0</v>
      </c>
      <c r="AG13">
        <v>0</v>
      </c>
      <c r="AH13">
        <v>0</v>
      </c>
      <c r="AI13">
        <v>9.3000000000000007</v>
      </c>
      <c r="AJ13">
        <v>1</v>
      </c>
      <c r="AK13">
        <v>1</v>
      </c>
      <c r="AL13">
        <v>1</v>
      </c>
      <c r="AM13">
        <v>4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7.3</v>
      </c>
      <c r="AU13" t="s">
        <v>3</v>
      </c>
      <c r="AV13">
        <v>0</v>
      </c>
      <c r="AW13">
        <v>2</v>
      </c>
      <c r="AX13">
        <v>53680193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ROUND(Y13*Source!I33,7)</f>
        <v>2.5185</v>
      </c>
      <c r="CY13">
        <f>AA13</f>
        <v>84.07</v>
      </c>
      <c r="CZ13">
        <f>AE13</f>
        <v>9.0399999999999991</v>
      </c>
      <c r="DA13">
        <f>AI13</f>
        <v>9.3000000000000007</v>
      </c>
      <c r="DB13">
        <f t="shared" si="1"/>
        <v>66</v>
      </c>
      <c r="DC13">
        <f t="shared" si="2"/>
        <v>0</v>
      </c>
      <c r="DD13" t="s">
        <v>3</v>
      </c>
      <c r="DE13" t="s">
        <v>3</v>
      </c>
      <c r="DF13">
        <f>ROUND(ROUND(AE13*AI13,0)*CX13,0)</f>
        <v>212</v>
      </c>
      <c r="DG13">
        <f>ROUND(ROUND(AF13,0)*CX13,0)</f>
        <v>0</v>
      </c>
      <c r="DH13">
        <f>ROUND(ROUND(AG13,0)*CX13,0)</f>
        <v>0</v>
      </c>
      <c r="DI13">
        <f t="shared" si="4"/>
        <v>0</v>
      </c>
      <c r="DJ13">
        <f>DF13</f>
        <v>212</v>
      </c>
      <c r="DK13">
        <v>0</v>
      </c>
      <c r="DL13" t="s">
        <v>3</v>
      </c>
      <c r="DM13">
        <v>0</v>
      </c>
      <c r="DN13" t="s">
        <v>3</v>
      </c>
      <c r="DO13">
        <v>0</v>
      </c>
    </row>
    <row r="14" spans="1:119" x14ac:dyDescent="0.2">
      <c r="A14">
        <f>ROW(Source!A33)</f>
        <v>33</v>
      </c>
      <c r="B14">
        <v>53679809</v>
      </c>
      <c r="C14">
        <v>53680181</v>
      </c>
      <c r="D14">
        <v>51481661</v>
      </c>
      <c r="E14">
        <v>1</v>
      </c>
      <c r="F14">
        <v>1</v>
      </c>
      <c r="G14">
        <v>1</v>
      </c>
      <c r="H14">
        <v>3</v>
      </c>
      <c r="I14" t="s">
        <v>277</v>
      </c>
      <c r="J14" t="s">
        <v>278</v>
      </c>
      <c r="K14" t="s">
        <v>279</v>
      </c>
      <c r="L14">
        <v>1348</v>
      </c>
      <c r="N14">
        <v>1009</v>
      </c>
      <c r="O14" t="s">
        <v>69</v>
      </c>
      <c r="P14" t="s">
        <v>69</v>
      </c>
      <c r="Q14">
        <v>1000</v>
      </c>
      <c r="W14">
        <v>0</v>
      </c>
      <c r="X14">
        <v>1946717098</v>
      </c>
      <c r="Y14">
        <f t="shared" si="0"/>
        <v>9.2999999999999992E-3</v>
      </c>
      <c r="AA14">
        <v>111395.4</v>
      </c>
      <c r="AB14">
        <v>0</v>
      </c>
      <c r="AC14">
        <v>0</v>
      </c>
      <c r="AD14">
        <v>0</v>
      </c>
      <c r="AE14">
        <v>11978</v>
      </c>
      <c r="AF14">
        <v>0</v>
      </c>
      <c r="AG14">
        <v>0</v>
      </c>
      <c r="AH14">
        <v>0</v>
      </c>
      <c r="AI14">
        <v>9.3000000000000007</v>
      </c>
      <c r="AJ14">
        <v>1</v>
      </c>
      <c r="AK14">
        <v>1</v>
      </c>
      <c r="AL14">
        <v>1</v>
      </c>
      <c r="AM14">
        <v>4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9.2999999999999992E-3</v>
      </c>
      <c r="AU14" t="s">
        <v>3</v>
      </c>
      <c r="AV14">
        <v>0</v>
      </c>
      <c r="AW14">
        <v>2</v>
      </c>
      <c r="AX14">
        <v>53680194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ROUND(Y14*Source!I33,7)</f>
        <v>3.2085E-3</v>
      </c>
      <c r="CY14">
        <f>AA14</f>
        <v>111395.4</v>
      </c>
      <c r="CZ14">
        <f>AE14</f>
        <v>11978</v>
      </c>
      <c r="DA14">
        <f>AI14</f>
        <v>9.3000000000000007</v>
      </c>
      <c r="DB14">
        <f t="shared" si="1"/>
        <v>111</v>
      </c>
      <c r="DC14">
        <f t="shared" si="2"/>
        <v>0</v>
      </c>
      <c r="DD14" t="s">
        <v>3</v>
      </c>
      <c r="DE14" t="s">
        <v>3</v>
      </c>
      <c r="DF14">
        <f>ROUND(ROUND(AE14*AI14,0)*CX14,0)</f>
        <v>357</v>
      </c>
      <c r="DG14">
        <f>ROUND(ROUND(AF14,0)*CX14,0)</f>
        <v>0</v>
      </c>
      <c r="DH14">
        <f>ROUND(ROUND(AG14,0)*CX14,0)</f>
        <v>0</v>
      </c>
      <c r="DI14">
        <f t="shared" si="4"/>
        <v>0</v>
      </c>
      <c r="DJ14">
        <f>DF14</f>
        <v>357</v>
      </c>
      <c r="DK14">
        <v>0</v>
      </c>
      <c r="DL14" t="s">
        <v>3</v>
      </c>
      <c r="DM14">
        <v>0</v>
      </c>
      <c r="DN14" t="s">
        <v>3</v>
      </c>
      <c r="DO14">
        <v>0</v>
      </c>
    </row>
    <row r="15" spans="1:119" x14ac:dyDescent="0.2">
      <c r="A15">
        <f>ROW(Source!A33)</f>
        <v>33</v>
      </c>
      <c r="B15">
        <v>53679809</v>
      </c>
      <c r="C15">
        <v>53680181</v>
      </c>
      <c r="D15">
        <v>51512334</v>
      </c>
      <c r="E15">
        <v>1</v>
      </c>
      <c r="F15">
        <v>1</v>
      </c>
      <c r="G15">
        <v>1</v>
      </c>
      <c r="H15">
        <v>3</v>
      </c>
      <c r="I15" t="s">
        <v>280</v>
      </c>
      <c r="J15" t="s">
        <v>281</v>
      </c>
      <c r="K15" t="s">
        <v>282</v>
      </c>
      <c r="L15">
        <v>1348</v>
      </c>
      <c r="N15">
        <v>1009</v>
      </c>
      <c r="O15" t="s">
        <v>69</v>
      </c>
      <c r="P15" t="s">
        <v>69</v>
      </c>
      <c r="Q15">
        <v>1000</v>
      </c>
      <c r="W15">
        <v>0</v>
      </c>
      <c r="X15">
        <v>110471245</v>
      </c>
      <c r="Y15">
        <f t="shared" si="0"/>
        <v>7.0000000000000001E-3</v>
      </c>
      <c r="AA15">
        <v>141871.5</v>
      </c>
      <c r="AB15">
        <v>0</v>
      </c>
      <c r="AC15">
        <v>0</v>
      </c>
      <c r="AD15">
        <v>0</v>
      </c>
      <c r="AE15">
        <v>15255</v>
      </c>
      <c r="AF15">
        <v>0</v>
      </c>
      <c r="AG15">
        <v>0</v>
      </c>
      <c r="AH15">
        <v>0</v>
      </c>
      <c r="AI15">
        <v>9.3000000000000007</v>
      </c>
      <c r="AJ15">
        <v>1</v>
      </c>
      <c r="AK15">
        <v>1</v>
      </c>
      <c r="AL15">
        <v>1</v>
      </c>
      <c r="AM15">
        <v>4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7.0000000000000001E-3</v>
      </c>
      <c r="AU15" t="s">
        <v>3</v>
      </c>
      <c r="AV15">
        <v>0</v>
      </c>
      <c r="AW15">
        <v>2</v>
      </c>
      <c r="AX15">
        <v>53680198</v>
      </c>
      <c r="AY15">
        <v>1</v>
      </c>
      <c r="AZ15">
        <v>0</v>
      </c>
      <c r="BA15">
        <v>18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ROUND(Y15*Source!I33,7)</f>
        <v>2.415E-3</v>
      </c>
      <c r="CY15">
        <f>AA15</f>
        <v>141871.5</v>
      </c>
      <c r="CZ15">
        <f>AE15</f>
        <v>15255</v>
      </c>
      <c r="DA15">
        <f>AI15</f>
        <v>9.3000000000000007</v>
      </c>
      <c r="DB15">
        <f t="shared" si="1"/>
        <v>107</v>
      </c>
      <c r="DC15">
        <f t="shared" si="2"/>
        <v>0</v>
      </c>
      <c r="DD15" t="s">
        <v>3</v>
      </c>
      <c r="DE15" t="s">
        <v>3</v>
      </c>
      <c r="DF15">
        <f>ROUND(ROUND(AE15*AI15,0)*CX15,0)</f>
        <v>343</v>
      </c>
      <c r="DG15">
        <f>ROUND(ROUND(AF15,0)*CX15,0)</f>
        <v>0</v>
      </c>
      <c r="DH15">
        <f>ROUND(ROUND(AG15,0)*CX15,0)</f>
        <v>0</v>
      </c>
      <c r="DI15">
        <f t="shared" si="4"/>
        <v>0</v>
      </c>
      <c r="DJ15">
        <f>DF15</f>
        <v>343</v>
      </c>
      <c r="DK15">
        <v>0</v>
      </c>
      <c r="DL15" t="s">
        <v>3</v>
      </c>
      <c r="DM15">
        <v>0</v>
      </c>
      <c r="DN15" t="s">
        <v>3</v>
      </c>
      <c r="DO15">
        <v>0</v>
      </c>
    </row>
    <row r="16" spans="1:119" x14ac:dyDescent="0.2">
      <c r="A16">
        <f>ROW(Source!A39)</f>
        <v>39</v>
      </c>
      <c r="B16">
        <v>53679809</v>
      </c>
      <c r="C16">
        <v>53680203</v>
      </c>
      <c r="D16">
        <v>51468238</v>
      </c>
      <c r="E16">
        <v>52</v>
      </c>
      <c r="F16">
        <v>1</v>
      </c>
      <c r="G16">
        <v>1</v>
      </c>
      <c r="H16">
        <v>1</v>
      </c>
      <c r="I16" t="s">
        <v>283</v>
      </c>
      <c r="J16" t="s">
        <v>3</v>
      </c>
      <c r="K16" t="s">
        <v>284</v>
      </c>
      <c r="L16">
        <v>1191</v>
      </c>
      <c r="N16">
        <v>1013</v>
      </c>
      <c r="O16" t="s">
        <v>252</v>
      </c>
      <c r="P16" t="s">
        <v>252</v>
      </c>
      <c r="Q16">
        <v>1</v>
      </c>
      <c r="W16">
        <v>0</v>
      </c>
      <c r="X16">
        <v>-1081351934</v>
      </c>
      <c r="Y16">
        <f t="shared" si="0"/>
        <v>111.44</v>
      </c>
      <c r="AA16">
        <v>0</v>
      </c>
      <c r="AB16">
        <v>0</v>
      </c>
      <c r="AC16">
        <v>0</v>
      </c>
      <c r="AD16">
        <v>309.35000000000002</v>
      </c>
      <c r="AE16">
        <v>0</v>
      </c>
      <c r="AF16">
        <v>0</v>
      </c>
      <c r="AG16">
        <v>0</v>
      </c>
      <c r="AH16">
        <v>9.4</v>
      </c>
      <c r="AI16">
        <v>1</v>
      </c>
      <c r="AJ16">
        <v>1</v>
      </c>
      <c r="AK16">
        <v>1</v>
      </c>
      <c r="AL16">
        <v>32.909999999999997</v>
      </c>
      <c r="AM16">
        <v>4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111.44</v>
      </c>
      <c r="AU16" t="s">
        <v>3</v>
      </c>
      <c r="AV16">
        <v>1</v>
      </c>
      <c r="AW16">
        <v>2</v>
      </c>
      <c r="AX16">
        <v>53680212</v>
      </c>
      <c r="AY16">
        <v>1</v>
      </c>
      <c r="AZ16">
        <v>0</v>
      </c>
      <c r="BA16">
        <v>19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ROUND(Y16*Source!I39,7)</f>
        <v>11.745775999999999</v>
      </c>
      <c r="CY16">
        <f>AD16</f>
        <v>309.35000000000002</v>
      </c>
      <c r="CZ16">
        <f>AH16</f>
        <v>9.4</v>
      </c>
      <c r="DA16">
        <f>AL16</f>
        <v>32.909999999999997</v>
      </c>
      <c r="DB16">
        <f t="shared" si="1"/>
        <v>1048</v>
      </c>
      <c r="DC16">
        <f t="shared" si="2"/>
        <v>0</v>
      </c>
      <c r="DD16" t="s">
        <v>3</v>
      </c>
      <c r="DE16" t="s">
        <v>3</v>
      </c>
      <c r="DF16">
        <f>ROUND(ROUND(AE16,0)*CX16,0)</f>
        <v>0</v>
      </c>
      <c r="DG16">
        <f>ROUND(ROUND(AF16,0)*CX16,0)</f>
        <v>0</v>
      </c>
      <c r="DH16">
        <f>ROUND(ROUND(AG16,0)*CX16,0)</f>
        <v>0</v>
      </c>
      <c r="DI16">
        <f>ROUND(ROUND(AH16*AL16,0)*CX16,0)</f>
        <v>3629</v>
      </c>
      <c r="DJ16">
        <f>DI16</f>
        <v>3629</v>
      </c>
      <c r="DK16">
        <v>0</v>
      </c>
      <c r="DL16" t="s">
        <v>3</v>
      </c>
      <c r="DM16">
        <v>0</v>
      </c>
      <c r="DN16" t="s">
        <v>3</v>
      </c>
      <c r="DO16">
        <v>0</v>
      </c>
    </row>
    <row r="17" spans="1:119" x14ac:dyDescent="0.2">
      <c r="A17">
        <f>ROW(Source!A39)</f>
        <v>39</v>
      </c>
      <c r="B17">
        <v>53679809</v>
      </c>
      <c r="C17">
        <v>53680203</v>
      </c>
      <c r="D17">
        <v>51468391</v>
      </c>
      <c r="E17">
        <v>52</v>
      </c>
      <c r="F17">
        <v>1</v>
      </c>
      <c r="G17">
        <v>1</v>
      </c>
      <c r="H17">
        <v>1</v>
      </c>
      <c r="I17" t="s">
        <v>253</v>
      </c>
      <c r="J17" t="s">
        <v>3</v>
      </c>
      <c r="K17" t="s">
        <v>254</v>
      </c>
      <c r="L17">
        <v>1191</v>
      </c>
      <c r="N17">
        <v>1013</v>
      </c>
      <c r="O17" t="s">
        <v>252</v>
      </c>
      <c r="P17" t="s">
        <v>252</v>
      </c>
      <c r="Q17">
        <v>1</v>
      </c>
      <c r="W17">
        <v>0</v>
      </c>
      <c r="X17">
        <v>-1417349443</v>
      </c>
      <c r="Y17">
        <f t="shared" si="0"/>
        <v>21.85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1</v>
      </c>
      <c r="AJ17">
        <v>1</v>
      </c>
      <c r="AK17">
        <v>32.909999999999997</v>
      </c>
      <c r="AL17">
        <v>1</v>
      </c>
      <c r="AM17">
        <v>4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21.85</v>
      </c>
      <c r="AU17" t="s">
        <v>3</v>
      </c>
      <c r="AV17">
        <v>2</v>
      </c>
      <c r="AW17">
        <v>2</v>
      </c>
      <c r="AX17">
        <v>53680213</v>
      </c>
      <c r="AY17">
        <v>1</v>
      </c>
      <c r="AZ17">
        <v>0</v>
      </c>
      <c r="BA17">
        <v>20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ROUND(Y17*Source!I39,7)</f>
        <v>2.3029899999999999</v>
      </c>
      <c r="CY17">
        <f>AD17</f>
        <v>0</v>
      </c>
      <c r="CZ17">
        <f>AH17</f>
        <v>0</v>
      </c>
      <c r="DA17">
        <f>AL17</f>
        <v>1</v>
      </c>
      <c r="DB17">
        <f t="shared" si="1"/>
        <v>0</v>
      </c>
      <c r="DC17">
        <f t="shared" si="2"/>
        <v>0</v>
      </c>
      <c r="DD17" t="s">
        <v>3</v>
      </c>
      <c r="DE17" t="s">
        <v>3</v>
      </c>
      <c r="DF17">
        <f>ROUND(ROUND(AE17,0)*CX17,0)</f>
        <v>0</v>
      </c>
      <c r="DG17">
        <f>ROUND(ROUND(AF17,0)*CX17,0)</f>
        <v>0</v>
      </c>
      <c r="DH17">
        <f>ROUND(ROUND(AG17*AK17,0)*CX17,0)</f>
        <v>0</v>
      </c>
      <c r="DI17">
        <f t="shared" ref="DI17:DI23" si="5">ROUND(ROUND(AH17,0)*CX17,0)</f>
        <v>0</v>
      </c>
      <c r="DJ17">
        <f>DI17</f>
        <v>0</v>
      </c>
      <c r="DK17">
        <v>0</v>
      </c>
      <c r="DL17" t="s">
        <v>3</v>
      </c>
      <c r="DM17">
        <v>0</v>
      </c>
      <c r="DN17" t="s">
        <v>3</v>
      </c>
      <c r="DO17">
        <v>0</v>
      </c>
    </row>
    <row r="18" spans="1:119" x14ac:dyDescent="0.2">
      <c r="A18">
        <f>ROW(Source!A39)</f>
        <v>39</v>
      </c>
      <c r="B18">
        <v>53679809</v>
      </c>
      <c r="C18">
        <v>53680203</v>
      </c>
      <c r="D18">
        <v>51629224</v>
      </c>
      <c r="E18">
        <v>1</v>
      </c>
      <c r="F18">
        <v>1</v>
      </c>
      <c r="G18">
        <v>1</v>
      </c>
      <c r="H18">
        <v>2</v>
      </c>
      <c r="I18" t="s">
        <v>285</v>
      </c>
      <c r="J18" t="s">
        <v>286</v>
      </c>
      <c r="K18" t="s">
        <v>287</v>
      </c>
      <c r="L18">
        <v>1368</v>
      </c>
      <c r="N18">
        <v>1011</v>
      </c>
      <c r="O18" t="s">
        <v>258</v>
      </c>
      <c r="P18" t="s">
        <v>258</v>
      </c>
      <c r="Q18">
        <v>1</v>
      </c>
      <c r="W18">
        <v>0</v>
      </c>
      <c r="X18">
        <v>-1574043236</v>
      </c>
      <c r="Y18">
        <f t="shared" si="0"/>
        <v>21.85</v>
      </c>
      <c r="AA18">
        <v>0</v>
      </c>
      <c r="AB18">
        <v>5922.02</v>
      </c>
      <c r="AC18">
        <v>587.11</v>
      </c>
      <c r="AD18">
        <v>0</v>
      </c>
      <c r="AE18">
        <v>0</v>
      </c>
      <c r="AF18">
        <v>476.43</v>
      </c>
      <c r="AG18">
        <v>17.84</v>
      </c>
      <c r="AH18">
        <v>0</v>
      </c>
      <c r="AI18">
        <v>1</v>
      </c>
      <c r="AJ18">
        <v>12.43</v>
      </c>
      <c r="AK18">
        <v>32.909999999999997</v>
      </c>
      <c r="AL18">
        <v>1</v>
      </c>
      <c r="AM18">
        <v>4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21.85</v>
      </c>
      <c r="AU18" t="s">
        <v>3</v>
      </c>
      <c r="AV18">
        <v>0</v>
      </c>
      <c r="AW18">
        <v>2</v>
      </c>
      <c r="AX18">
        <v>53680214</v>
      </c>
      <c r="AY18">
        <v>1</v>
      </c>
      <c r="AZ18">
        <v>0</v>
      </c>
      <c r="BA18">
        <v>21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ROUND(Y18*Source!I39,7)</f>
        <v>2.3029899999999999</v>
      </c>
      <c r="CY18">
        <f>AB18</f>
        <v>5922.02</v>
      </c>
      <c r="CZ18">
        <f>AF18</f>
        <v>476.43</v>
      </c>
      <c r="DA18">
        <f>AJ18</f>
        <v>12.43</v>
      </c>
      <c r="DB18">
        <f t="shared" si="1"/>
        <v>10410</v>
      </c>
      <c r="DC18">
        <f t="shared" si="2"/>
        <v>390</v>
      </c>
      <c r="DD18" t="s">
        <v>3</v>
      </c>
      <c r="DE18" t="s">
        <v>3</v>
      </c>
      <c r="DF18">
        <f>ROUND(ROUND(AE18,0)*CX18,0)</f>
        <v>0</v>
      </c>
      <c r="DG18">
        <f>ROUND(ROUND(AF18*AJ18,0)*CX18,0)</f>
        <v>13638</v>
      </c>
      <c r="DH18">
        <f>ROUND(ROUND(AG18*AK18,0)*CX18,0)</f>
        <v>1352</v>
      </c>
      <c r="DI18">
        <f t="shared" si="5"/>
        <v>0</v>
      </c>
      <c r="DJ18">
        <f>DG18</f>
        <v>13638</v>
      </c>
      <c r="DK18">
        <v>0</v>
      </c>
      <c r="DL18" t="s">
        <v>3</v>
      </c>
      <c r="DM18">
        <v>0</v>
      </c>
      <c r="DN18" t="s">
        <v>3</v>
      </c>
      <c r="DO18">
        <v>0</v>
      </c>
    </row>
    <row r="19" spans="1:119" x14ac:dyDescent="0.2">
      <c r="A19">
        <f>ROW(Source!A39)</f>
        <v>39</v>
      </c>
      <c r="B19">
        <v>53679809</v>
      </c>
      <c r="C19">
        <v>53680203</v>
      </c>
      <c r="D19">
        <v>51630466</v>
      </c>
      <c r="E19">
        <v>1</v>
      </c>
      <c r="F19">
        <v>1</v>
      </c>
      <c r="G19">
        <v>1</v>
      </c>
      <c r="H19">
        <v>2</v>
      </c>
      <c r="I19" t="s">
        <v>288</v>
      </c>
      <c r="J19" t="s">
        <v>289</v>
      </c>
      <c r="K19" t="s">
        <v>290</v>
      </c>
      <c r="L19">
        <v>1368</v>
      </c>
      <c r="N19">
        <v>1011</v>
      </c>
      <c r="O19" t="s">
        <v>258</v>
      </c>
      <c r="P19" t="s">
        <v>258</v>
      </c>
      <c r="Q19">
        <v>1</v>
      </c>
      <c r="W19">
        <v>0</v>
      </c>
      <c r="X19">
        <v>-1183613947</v>
      </c>
      <c r="Y19">
        <f t="shared" si="0"/>
        <v>4.87</v>
      </c>
      <c r="AA19">
        <v>0</v>
      </c>
      <c r="AB19">
        <v>100.68</v>
      </c>
      <c r="AC19">
        <v>0</v>
      </c>
      <c r="AD19">
        <v>0</v>
      </c>
      <c r="AE19">
        <v>0</v>
      </c>
      <c r="AF19">
        <v>8.1</v>
      </c>
      <c r="AG19">
        <v>0</v>
      </c>
      <c r="AH19">
        <v>0</v>
      </c>
      <c r="AI19">
        <v>1</v>
      </c>
      <c r="AJ19">
        <v>12.43</v>
      </c>
      <c r="AK19">
        <v>32.909999999999997</v>
      </c>
      <c r="AL19">
        <v>1</v>
      </c>
      <c r="AM19">
        <v>4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4.87</v>
      </c>
      <c r="AU19" t="s">
        <v>3</v>
      </c>
      <c r="AV19">
        <v>0</v>
      </c>
      <c r="AW19">
        <v>2</v>
      </c>
      <c r="AX19">
        <v>53680215</v>
      </c>
      <c r="AY19">
        <v>1</v>
      </c>
      <c r="AZ19">
        <v>0</v>
      </c>
      <c r="BA19">
        <v>22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ROUND(Y19*Source!I39,7)</f>
        <v>0.51329800000000003</v>
      </c>
      <c r="CY19">
        <f>AB19</f>
        <v>100.68</v>
      </c>
      <c r="CZ19">
        <f>AF19</f>
        <v>8.1</v>
      </c>
      <c r="DA19">
        <f>AJ19</f>
        <v>12.43</v>
      </c>
      <c r="DB19">
        <f t="shared" si="1"/>
        <v>39</v>
      </c>
      <c r="DC19">
        <f t="shared" si="2"/>
        <v>0</v>
      </c>
      <c r="DD19" t="s">
        <v>3</v>
      </c>
      <c r="DE19" t="s">
        <v>3</v>
      </c>
      <c r="DF19">
        <f>ROUND(ROUND(AE19,0)*CX19,0)</f>
        <v>0</v>
      </c>
      <c r="DG19">
        <f>ROUND(ROUND(AF19*AJ19,0)*CX19,0)</f>
        <v>52</v>
      </c>
      <c r="DH19">
        <f>ROUND(ROUND(AG19*AK19,0)*CX19,0)</f>
        <v>0</v>
      </c>
      <c r="DI19">
        <f t="shared" si="5"/>
        <v>0</v>
      </c>
      <c r="DJ19">
        <f>DG19</f>
        <v>52</v>
      </c>
      <c r="DK19">
        <v>0</v>
      </c>
      <c r="DL19" t="s">
        <v>3</v>
      </c>
      <c r="DM19">
        <v>0</v>
      </c>
      <c r="DN19" t="s">
        <v>3</v>
      </c>
      <c r="DO19">
        <v>0</v>
      </c>
    </row>
    <row r="20" spans="1:119" x14ac:dyDescent="0.2">
      <c r="A20">
        <f>ROW(Source!A39)</f>
        <v>39</v>
      </c>
      <c r="B20">
        <v>53679809</v>
      </c>
      <c r="C20">
        <v>53680203</v>
      </c>
      <c r="D20">
        <v>51480490</v>
      </c>
      <c r="E20">
        <v>1</v>
      </c>
      <c r="F20">
        <v>1</v>
      </c>
      <c r="G20">
        <v>1</v>
      </c>
      <c r="H20">
        <v>3</v>
      </c>
      <c r="I20" t="s">
        <v>291</v>
      </c>
      <c r="J20" t="s">
        <v>292</v>
      </c>
      <c r="K20" t="s">
        <v>293</v>
      </c>
      <c r="L20">
        <v>1348</v>
      </c>
      <c r="N20">
        <v>1009</v>
      </c>
      <c r="O20" t="s">
        <v>69</v>
      </c>
      <c r="P20" t="s">
        <v>69</v>
      </c>
      <c r="Q20">
        <v>1000</v>
      </c>
      <c r="W20">
        <v>0</v>
      </c>
      <c r="X20">
        <v>2125234770</v>
      </c>
      <c r="Y20">
        <f t="shared" si="0"/>
        <v>5.8E-4</v>
      </c>
      <c r="AA20">
        <v>130888.2</v>
      </c>
      <c r="AB20">
        <v>0</v>
      </c>
      <c r="AC20">
        <v>0</v>
      </c>
      <c r="AD20">
        <v>0</v>
      </c>
      <c r="AE20">
        <v>14074</v>
      </c>
      <c r="AF20">
        <v>0</v>
      </c>
      <c r="AG20">
        <v>0</v>
      </c>
      <c r="AH20">
        <v>0</v>
      </c>
      <c r="AI20">
        <v>9.3000000000000007</v>
      </c>
      <c r="AJ20">
        <v>1</v>
      </c>
      <c r="AK20">
        <v>1</v>
      </c>
      <c r="AL20">
        <v>1</v>
      </c>
      <c r="AM20">
        <v>4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5.8E-4</v>
      </c>
      <c r="AU20" t="s">
        <v>3</v>
      </c>
      <c r="AV20">
        <v>0</v>
      </c>
      <c r="AW20">
        <v>2</v>
      </c>
      <c r="AX20">
        <v>53680216</v>
      </c>
      <c r="AY20">
        <v>1</v>
      </c>
      <c r="AZ20">
        <v>0</v>
      </c>
      <c r="BA20">
        <v>23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ROUND(Y20*Source!I39,7)</f>
        <v>6.1099999999999994E-5</v>
      </c>
      <c r="CY20">
        <f>AA20</f>
        <v>130888.2</v>
      </c>
      <c r="CZ20">
        <f>AE20</f>
        <v>14074</v>
      </c>
      <c r="DA20">
        <f>AI20</f>
        <v>9.3000000000000007</v>
      </c>
      <c r="DB20">
        <f t="shared" si="1"/>
        <v>8</v>
      </c>
      <c r="DC20">
        <f t="shared" si="2"/>
        <v>0</v>
      </c>
      <c r="DD20" t="s">
        <v>3</v>
      </c>
      <c r="DE20" t="s">
        <v>3</v>
      </c>
      <c r="DF20">
        <f>ROUND(ROUND(AE20*AI20,0)*CX20,0)</f>
        <v>8</v>
      </c>
      <c r="DG20">
        <f t="shared" ref="DG20:DG25" si="6">ROUND(ROUND(AF20,0)*CX20,0)</f>
        <v>0</v>
      </c>
      <c r="DH20">
        <f>ROUND(ROUND(AG20,0)*CX20,0)</f>
        <v>0</v>
      </c>
      <c r="DI20">
        <f t="shared" si="5"/>
        <v>0</v>
      </c>
      <c r="DJ20">
        <f>DF20</f>
        <v>8</v>
      </c>
      <c r="DK20">
        <v>0</v>
      </c>
      <c r="DL20" t="s">
        <v>3</v>
      </c>
      <c r="DM20">
        <v>0</v>
      </c>
      <c r="DN20" t="s">
        <v>3</v>
      </c>
      <c r="DO20">
        <v>0</v>
      </c>
    </row>
    <row r="21" spans="1:119" x14ac:dyDescent="0.2">
      <c r="A21">
        <f>ROW(Source!A39)</f>
        <v>39</v>
      </c>
      <c r="B21">
        <v>53679809</v>
      </c>
      <c r="C21">
        <v>53680203</v>
      </c>
      <c r="D21">
        <v>51481511</v>
      </c>
      <c r="E21">
        <v>1</v>
      </c>
      <c r="F21">
        <v>1</v>
      </c>
      <c r="G21">
        <v>1</v>
      </c>
      <c r="H21">
        <v>3</v>
      </c>
      <c r="I21" t="s">
        <v>294</v>
      </c>
      <c r="J21" t="s">
        <v>295</v>
      </c>
      <c r="K21" t="s">
        <v>296</v>
      </c>
      <c r="L21">
        <v>1425</v>
      </c>
      <c r="N21">
        <v>1013</v>
      </c>
      <c r="O21" t="s">
        <v>18</v>
      </c>
      <c r="P21" t="s">
        <v>18</v>
      </c>
      <c r="Q21">
        <v>1</v>
      </c>
      <c r="W21">
        <v>0</v>
      </c>
      <c r="X21">
        <v>605805257</v>
      </c>
      <c r="Y21">
        <f t="shared" si="0"/>
        <v>1.1527000000000001E-2</v>
      </c>
      <c r="AA21">
        <v>5979.9</v>
      </c>
      <c r="AB21">
        <v>0</v>
      </c>
      <c r="AC21">
        <v>0</v>
      </c>
      <c r="AD21">
        <v>0</v>
      </c>
      <c r="AE21">
        <v>643</v>
      </c>
      <c r="AF21">
        <v>0</v>
      </c>
      <c r="AG21">
        <v>0</v>
      </c>
      <c r="AH21">
        <v>0</v>
      </c>
      <c r="AI21">
        <v>9.3000000000000007</v>
      </c>
      <c r="AJ21">
        <v>1</v>
      </c>
      <c r="AK21">
        <v>1</v>
      </c>
      <c r="AL21">
        <v>1</v>
      </c>
      <c r="AM21">
        <v>4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1.1527000000000001E-2</v>
      </c>
      <c r="AU21" t="s">
        <v>3</v>
      </c>
      <c r="AV21">
        <v>0</v>
      </c>
      <c r="AW21">
        <v>2</v>
      </c>
      <c r="AX21">
        <v>53680217</v>
      </c>
      <c r="AY21">
        <v>1</v>
      </c>
      <c r="AZ21">
        <v>0</v>
      </c>
      <c r="BA21">
        <v>24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ROUND(Y21*Source!I39,7)</f>
        <v>1.2149000000000001E-3</v>
      </c>
      <c r="CY21">
        <f>AA21</f>
        <v>5979.9</v>
      </c>
      <c r="CZ21">
        <f>AE21</f>
        <v>643</v>
      </c>
      <c r="DA21">
        <f>AI21</f>
        <v>9.3000000000000007</v>
      </c>
      <c r="DB21">
        <f t="shared" si="1"/>
        <v>7</v>
      </c>
      <c r="DC21">
        <f t="shared" si="2"/>
        <v>0</v>
      </c>
      <c r="DD21" t="s">
        <v>3</v>
      </c>
      <c r="DE21" t="s">
        <v>3</v>
      </c>
      <c r="DF21">
        <f>ROUND(ROUND(AE21*AI21,0)*CX21,0)</f>
        <v>7</v>
      </c>
      <c r="DG21">
        <f t="shared" si="6"/>
        <v>0</v>
      </c>
      <c r="DH21">
        <f>ROUND(ROUND(AG21,0)*CX21,0)</f>
        <v>0</v>
      </c>
      <c r="DI21">
        <f t="shared" si="5"/>
        <v>0</v>
      </c>
      <c r="DJ21">
        <f>DF21</f>
        <v>7</v>
      </c>
      <c r="DK21">
        <v>0</v>
      </c>
      <c r="DL21" t="s">
        <v>3</v>
      </c>
      <c r="DM21">
        <v>0</v>
      </c>
      <c r="DN21" t="s">
        <v>3</v>
      </c>
      <c r="DO21">
        <v>0</v>
      </c>
    </row>
    <row r="22" spans="1:119" x14ac:dyDescent="0.2">
      <c r="A22">
        <f>ROW(Source!A39)</f>
        <v>39</v>
      </c>
      <c r="B22">
        <v>53679809</v>
      </c>
      <c r="C22">
        <v>53680203</v>
      </c>
      <c r="D22">
        <v>51481551</v>
      </c>
      <c r="E22">
        <v>1</v>
      </c>
      <c r="F22">
        <v>1</v>
      </c>
      <c r="G22">
        <v>1</v>
      </c>
      <c r="H22">
        <v>3</v>
      </c>
      <c r="I22" t="s">
        <v>297</v>
      </c>
      <c r="J22" t="s">
        <v>298</v>
      </c>
      <c r="K22" t="s">
        <v>299</v>
      </c>
      <c r="L22">
        <v>1348</v>
      </c>
      <c r="N22">
        <v>1009</v>
      </c>
      <c r="O22" t="s">
        <v>69</v>
      </c>
      <c r="P22" t="s">
        <v>69</v>
      </c>
      <c r="Q22">
        <v>1000</v>
      </c>
      <c r="W22">
        <v>0</v>
      </c>
      <c r="X22">
        <v>1805365711</v>
      </c>
      <c r="Y22">
        <f t="shared" si="0"/>
        <v>2.0200000000000001E-3</v>
      </c>
      <c r="AA22">
        <v>174808.85</v>
      </c>
      <c r="AB22">
        <v>0</v>
      </c>
      <c r="AC22">
        <v>0</v>
      </c>
      <c r="AD22">
        <v>0</v>
      </c>
      <c r="AE22">
        <v>18796.650000000001</v>
      </c>
      <c r="AF22">
        <v>0</v>
      </c>
      <c r="AG22">
        <v>0</v>
      </c>
      <c r="AH22">
        <v>0</v>
      </c>
      <c r="AI22">
        <v>9.3000000000000007</v>
      </c>
      <c r="AJ22">
        <v>1</v>
      </c>
      <c r="AK22">
        <v>1</v>
      </c>
      <c r="AL22">
        <v>1</v>
      </c>
      <c r="AM22">
        <v>4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2.0200000000000001E-3</v>
      </c>
      <c r="AU22" t="s">
        <v>3</v>
      </c>
      <c r="AV22">
        <v>0</v>
      </c>
      <c r="AW22">
        <v>2</v>
      </c>
      <c r="AX22">
        <v>53680218</v>
      </c>
      <c r="AY22">
        <v>1</v>
      </c>
      <c r="AZ22">
        <v>0</v>
      </c>
      <c r="BA22">
        <v>25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ROUND(Y22*Source!I39,7)</f>
        <v>2.129E-4</v>
      </c>
      <c r="CY22">
        <f>AA22</f>
        <v>174808.85</v>
      </c>
      <c r="CZ22">
        <f>AE22</f>
        <v>18796.650000000001</v>
      </c>
      <c r="DA22">
        <f>AI22</f>
        <v>9.3000000000000007</v>
      </c>
      <c r="DB22">
        <f t="shared" si="1"/>
        <v>38</v>
      </c>
      <c r="DC22">
        <f t="shared" si="2"/>
        <v>0</v>
      </c>
      <c r="DD22" t="s">
        <v>3</v>
      </c>
      <c r="DE22" t="s">
        <v>3</v>
      </c>
      <c r="DF22">
        <f>ROUND(ROUND(AE22*AI22,0)*CX22,0)</f>
        <v>37</v>
      </c>
      <c r="DG22">
        <f t="shared" si="6"/>
        <v>0</v>
      </c>
      <c r="DH22">
        <f>ROUND(ROUND(AG22,0)*CX22,0)</f>
        <v>0</v>
      </c>
      <c r="DI22">
        <f t="shared" si="5"/>
        <v>0</v>
      </c>
      <c r="DJ22">
        <f>DF22</f>
        <v>37</v>
      </c>
      <c r="DK22">
        <v>0</v>
      </c>
      <c r="DL22" t="s">
        <v>3</v>
      </c>
      <c r="DM22">
        <v>0</v>
      </c>
      <c r="DN22" t="s">
        <v>3</v>
      </c>
      <c r="DO22">
        <v>0</v>
      </c>
    </row>
    <row r="23" spans="1:119" x14ac:dyDescent="0.2">
      <c r="A23">
        <f>ROW(Source!A39)</f>
        <v>39</v>
      </c>
      <c r="B23">
        <v>53679809</v>
      </c>
      <c r="C23">
        <v>53680203</v>
      </c>
      <c r="D23">
        <v>51469921</v>
      </c>
      <c r="E23">
        <v>52</v>
      </c>
      <c r="F23">
        <v>1</v>
      </c>
      <c r="G23">
        <v>1</v>
      </c>
      <c r="H23">
        <v>3</v>
      </c>
      <c r="I23" t="s">
        <v>82</v>
      </c>
      <c r="J23" t="s">
        <v>3</v>
      </c>
      <c r="K23" t="s">
        <v>83</v>
      </c>
      <c r="L23">
        <v>1348</v>
      </c>
      <c r="N23">
        <v>1009</v>
      </c>
      <c r="O23" t="s">
        <v>69</v>
      </c>
      <c r="P23" t="s">
        <v>69</v>
      </c>
      <c r="Q23">
        <v>1000</v>
      </c>
      <c r="W23">
        <v>0</v>
      </c>
      <c r="X23">
        <v>-427710810</v>
      </c>
      <c r="Y23">
        <f t="shared" si="0"/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9.3000000000000007</v>
      </c>
      <c r="AJ23">
        <v>1</v>
      </c>
      <c r="AK23">
        <v>1</v>
      </c>
      <c r="AL23">
        <v>1</v>
      </c>
      <c r="AM23">
        <v>0</v>
      </c>
      <c r="AN23">
        <v>1</v>
      </c>
      <c r="AO23">
        <v>0</v>
      </c>
      <c r="AP23">
        <v>0</v>
      </c>
      <c r="AQ23">
        <v>0</v>
      </c>
      <c r="AR23">
        <v>0</v>
      </c>
      <c r="AS23" t="s">
        <v>3</v>
      </c>
      <c r="AT23">
        <v>0</v>
      </c>
      <c r="AU23" t="s">
        <v>3</v>
      </c>
      <c r="AV23">
        <v>0</v>
      </c>
      <c r="AW23">
        <v>2</v>
      </c>
      <c r="AX23">
        <v>53680219</v>
      </c>
      <c r="AY23">
        <v>1</v>
      </c>
      <c r="AZ23">
        <v>0</v>
      </c>
      <c r="BA23">
        <v>26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ROUND(Y23*Source!I39,7)</f>
        <v>0</v>
      </c>
      <c r="CY23">
        <f>AA23</f>
        <v>0</v>
      </c>
      <c r="CZ23">
        <f>AE23</f>
        <v>0</v>
      </c>
      <c r="DA23">
        <f>AI23</f>
        <v>9.3000000000000007</v>
      </c>
      <c r="DB23">
        <f t="shared" si="1"/>
        <v>0</v>
      </c>
      <c r="DC23">
        <f t="shared" si="2"/>
        <v>0</v>
      </c>
      <c r="DD23" t="s">
        <v>3</v>
      </c>
      <c r="DE23" t="s">
        <v>3</v>
      </c>
      <c r="DF23">
        <f>ROUND(ROUND(AE23*AI23,0)*CX23,0)</f>
        <v>0</v>
      </c>
      <c r="DG23">
        <f t="shared" si="6"/>
        <v>0</v>
      </c>
      <c r="DH23">
        <f>ROUND(ROUND(AG23,0)*CX23,0)</f>
        <v>0</v>
      </c>
      <c r="DI23">
        <f t="shared" si="5"/>
        <v>0</v>
      </c>
      <c r="DJ23">
        <f>DF23</f>
        <v>0</v>
      </c>
      <c r="DK23">
        <v>0</v>
      </c>
      <c r="DL23" t="s">
        <v>3</v>
      </c>
      <c r="DM23">
        <v>0</v>
      </c>
      <c r="DN23" t="s">
        <v>3</v>
      </c>
      <c r="DO23">
        <v>0</v>
      </c>
    </row>
    <row r="24" spans="1:119" x14ac:dyDescent="0.2">
      <c r="A24">
        <f>ROW(Source!A42)</f>
        <v>42</v>
      </c>
      <c r="B24">
        <v>53679809</v>
      </c>
      <c r="C24">
        <v>53680235</v>
      </c>
      <c r="D24">
        <v>51468208</v>
      </c>
      <c r="E24">
        <v>52</v>
      </c>
      <c r="F24">
        <v>1</v>
      </c>
      <c r="G24">
        <v>1</v>
      </c>
      <c r="H24">
        <v>1</v>
      </c>
      <c r="I24" t="s">
        <v>300</v>
      </c>
      <c r="J24" t="s">
        <v>3</v>
      </c>
      <c r="K24" t="s">
        <v>301</v>
      </c>
      <c r="L24">
        <v>1191</v>
      </c>
      <c r="N24">
        <v>1013</v>
      </c>
      <c r="O24" t="s">
        <v>252</v>
      </c>
      <c r="P24" t="s">
        <v>252</v>
      </c>
      <c r="Q24">
        <v>1</v>
      </c>
      <c r="W24">
        <v>0</v>
      </c>
      <c r="X24">
        <v>-784637506</v>
      </c>
      <c r="Y24">
        <f t="shared" si="0"/>
        <v>32.4</v>
      </c>
      <c r="AA24">
        <v>0</v>
      </c>
      <c r="AB24">
        <v>0</v>
      </c>
      <c r="AC24">
        <v>0</v>
      </c>
      <c r="AD24">
        <v>287.63</v>
      </c>
      <c r="AE24">
        <v>0</v>
      </c>
      <c r="AF24">
        <v>0</v>
      </c>
      <c r="AG24">
        <v>0</v>
      </c>
      <c r="AH24">
        <v>8.74</v>
      </c>
      <c r="AI24">
        <v>1</v>
      </c>
      <c r="AJ24">
        <v>1</v>
      </c>
      <c r="AK24">
        <v>1</v>
      </c>
      <c r="AL24">
        <v>32.909999999999997</v>
      </c>
      <c r="AM24">
        <v>4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32.4</v>
      </c>
      <c r="AU24" t="s">
        <v>3</v>
      </c>
      <c r="AV24">
        <v>1</v>
      </c>
      <c r="AW24">
        <v>2</v>
      </c>
      <c r="AX24">
        <v>53680246</v>
      </c>
      <c r="AY24">
        <v>1</v>
      </c>
      <c r="AZ24">
        <v>0</v>
      </c>
      <c r="BA24">
        <v>27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ROUND(Y24*Source!I42,7)</f>
        <v>5.9486400000000001</v>
      </c>
      <c r="CY24">
        <f>AD24</f>
        <v>287.63</v>
      </c>
      <c r="CZ24">
        <f>AH24</f>
        <v>8.74</v>
      </c>
      <c r="DA24">
        <f>AL24</f>
        <v>32.909999999999997</v>
      </c>
      <c r="DB24">
        <f t="shared" si="1"/>
        <v>283</v>
      </c>
      <c r="DC24">
        <f t="shared" si="2"/>
        <v>0</v>
      </c>
      <c r="DD24" t="s">
        <v>3</v>
      </c>
      <c r="DE24" t="s">
        <v>3</v>
      </c>
      <c r="DF24">
        <f>ROUND(ROUND(AE24,0)*CX24,0)</f>
        <v>0</v>
      </c>
      <c r="DG24">
        <f t="shared" si="6"/>
        <v>0</v>
      </c>
      <c r="DH24">
        <f>ROUND(ROUND(AG24,0)*CX24,0)</f>
        <v>0</v>
      </c>
      <c r="DI24">
        <f>ROUND(ROUND(AH24*AL24,0)*CX24,0)</f>
        <v>1713</v>
      </c>
      <c r="DJ24">
        <f>DI24</f>
        <v>1713</v>
      </c>
      <c r="DK24">
        <v>0</v>
      </c>
      <c r="DL24" t="s">
        <v>3</v>
      </c>
      <c r="DM24">
        <v>0</v>
      </c>
      <c r="DN24" t="s">
        <v>3</v>
      </c>
      <c r="DO24">
        <v>0</v>
      </c>
    </row>
    <row r="25" spans="1:119" x14ac:dyDescent="0.2">
      <c r="A25">
        <f>ROW(Source!A42)</f>
        <v>42</v>
      </c>
      <c r="B25">
        <v>53679809</v>
      </c>
      <c r="C25">
        <v>53680235</v>
      </c>
      <c r="D25">
        <v>51468391</v>
      </c>
      <c r="E25">
        <v>52</v>
      </c>
      <c r="F25">
        <v>1</v>
      </c>
      <c r="G25">
        <v>1</v>
      </c>
      <c r="H25">
        <v>1</v>
      </c>
      <c r="I25" t="s">
        <v>253</v>
      </c>
      <c r="J25" t="s">
        <v>3</v>
      </c>
      <c r="K25" t="s">
        <v>254</v>
      </c>
      <c r="L25">
        <v>1191</v>
      </c>
      <c r="N25">
        <v>1013</v>
      </c>
      <c r="O25" t="s">
        <v>252</v>
      </c>
      <c r="P25" t="s">
        <v>252</v>
      </c>
      <c r="Q25">
        <v>1</v>
      </c>
      <c r="W25">
        <v>0</v>
      </c>
      <c r="X25">
        <v>-1417349443</v>
      </c>
      <c r="Y25">
        <f t="shared" si="0"/>
        <v>0.32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32.909999999999997</v>
      </c>
      <c r="AL25">
        <v>1</v>
      </c>
      <c r="AM25">
        <v>4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0.32</v>
      </c>
      <c r="AU25" t="s">
        <v>3</v>
      </c>
      <c r="AV25">
        <v>2</v>
      </c>
      <c r="AW25">
        <v>2</v>
      </c>
      <c r="AX25">
        <v>53680247</v>
      </c>
      <c r="AY25">
        <v>1</v>
      </c>
      <c r="AZ25">
        <v>0</v>
      </c>
      <c r="BA25">
        <v>28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ROUND(Y25*Source!I42,7)</f>
        <v>5.8751999999999999E-2</v>
      </c>
      <c r="CY25">
        <f>AD25</f>
        <v>0</v>
      </c>
      <c r="CZ25">
        <f>AH25</f>
        <v>0</v>
      </c>
      <c r="DA25">
        <f>AL25</f>
        <v>1</v>
      </c>
      <c r="DB25">
        <f t="shared" si="1"/>
        <v>0</v>
      </c>
      <c r="DC25">
        <f t="shared" si="2"/>
        <v>0</v>
      </c>
      <c r="DD25" t="s">
        <v>3</v>
      </c>
      <c r="DE25" t="s">
        <v>3</v>
      </c>
      <c r="DF25">
        <f>ROUND(ROUND(AE25,0)*CX25,0)</f>
        <v>0</v>
      </c>
      <c r="DG25">
        <f t="shared" si="6"/>
        <v>0</v>
      </c>
      <c r="DH25">
        <f>ROUND(ROUND(AG25*AK25,0)*CX25,0)</f>
        <v>0</v>
      </c>
      <c r="DI25">
        <f t="shared" ref="DI25:DI33" si="7">ROUND(ROUND(AH25,0)*CX25,0)</f>
        <v>0</v>
      </c>
      <c r="DJ25">
        <f>DI25</f>
        <v>0</v>
      </c>
      <c r="DK25">
        <v>0</v>
      </c>
      <c r="DL25" t="s">
        <v>3</v>
      </c>
      <c r="DM25">
        <v>0</v>
      </c>
      <c r="DN25" t="s">
        <v>3</v>
      </c>
      <c r="DO25">
        <v>0</v>
      </c>
    </row>
    <row r="26" spans="1:119" x14ac:dyDescent="0.2">
      <c r="A26">
        <f>ROW(Source!A42)</f>
        <v>42</v>
      </c>
      <c r="B26">
        <v>53679809</v>
      </c>
      <c r="C26">
        <v>53680235</v>
      </c>
      <c r="D26">
        <v>51629163</v>
      </c>
      <c r="E26">
        <v>1</v>
      </c>
      <c r="F26">
        <v>1</v>
      </c>
      <c r="G26">
        <v>1</v>
      </c>
      <c r="H26">
        <v>2</v>
      </c>
      <c r="I26" t="s">
        <v>302</v>
      </c>
      <c r="J26" t="s">
        <v>303</v>
      </c>
      <c r="K26" t="s">
        <v>304</v>
      </c>
      <c r="L26">
        <v>1368</v>
      </c>
      <c r="N26">
        <v>1011</v>
      </c>
      <c r="O26" t="s">
        <v>258</v>
      </c>
      <c r="P26" t="s">
        <v>258</v>
      </c>
      <c r="Q26">
        <v>1</v>
      </c>
      <c r="W26">
        <v>0</v>
      </c>
      <c r="X26">
        <v>1882179412</v>
      </c>
      <c r="Y26">
        <f t="shared" si="0"/>
        <v>0.05</v>
      </c>
      <c r="AA26">
        <v>0</v>
      </c>
      <c r="AB26">
        <v>1073.95</v>
      </c>
      <c r="AC26">
        <v>444.29</v>
      </c>
      <c r="AD26">
        <v>0</v>
      </c>
      <c r="AE26">
        <v>0</v>
      </c>
      <c r="AF26">
        <v>86.4</v>
      </c>
      <c r="AG26">
        <v>13.5</v>
      </c>
      <c r="AH26">
        <v>0</v>
      </c>
      <c r="AI26">
        <v>1</v>
      </c>
      <c r="AJ26">
        <v>12.43</v>
      </c>
      <c r="AK26">
        <v>32.909999999999997</v>
      </c>
      <c r="AL26">
        <v>1</v>
      </c>
      <c r="AM26">
        <v>4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0.05</v>
      </c>
      <c r="AU26" t="s">
        <v>3</v>
      </c>
      <c r="AV26">
        <v>0</v>
      </c>
      <c r="AW26">
        <v>2</v>
      </c>
      <c r="AX26">
        <v>53680248</v>
      </c>
      <c r="AY26">
        <v>1</v>
      </c>
      <c r="AZ26">
        <v>0</v>
      </c>
      <c r="BA26">
        <v>29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ROUND(Y26*Source!I42,7)</f>
        <v>9.1800000000000007E-3</v>
      </c>
      <c r="CY26">
        <f>AB26</f>
        <v>1073.95</v>
      </c>
      <c r="CZ26">
        <f>AF26</f>
        <v>86.4</v>
      </c>
      <c r="DA26">
        <f>AJ26</f>
        <v>12.43</v>
      </c>
      <c r="DB26">
        <f t="shared" si="1"/>
        <v>4</v>
      </c>
      <c r="DC26">
        <f t="shared" si="2"/>
        <v>1</v>
      </c>
      <c r="DD26" t="s">
        <v>3</v>
      </c>
      <c r="DE26" t="s">
        <v>3</v>
      </c>
      <c r="DF26">
        <f>ROUND(ROUND(AE26,0)*CX26,0)</f>
        <v>0</v>
      </c>
      <c r="DG26">
        <f>ROUND(ROUND(AF26*AJ26,0)*CX26,0)</f>
        <v>10</v>
      </c>
      <c r="DH26">
        <f>ROUND(ROUND(AG26*AK26,0)*CX26,0)</f>
        <v>4</v>
      </c>
      <c r="DI26">
        <f t="shared" si="7"/>
        <v>0</v>
      </c>
      <c r="DJ26">
        <f>DG26</f>
        <v>10</v>
      </c>
      <c r="DK26">
        <v>0</v>
      </c>
      <c r="DL26" t="s">
        <v>3</v>
      </c>
      <c r="DM26">
        <v>0</v>
      </c>
      <c r="DN26" t="s">
        <v>3</v>
      </c>
      <c r="DO26">
        <v>0</v>
      </c>
    </row>
    <row r="27" spans="1:119" x14ac:dyDescent="0.2">
      <c r="A27">
        <f>ROW(Source!A42)</f>
        <v>42</v>
      </c>
      <c r="B27">
        <v>53679809</v>
      </c>
      <c r="C27">
        <v>53680235</v>
      </c>
      <c r="D27">
        <v>51629223</v>
      </c>
      <c r="E27">
        <v>1</v>
      </c>
      <c r="F27">
        <v>1</v>
      </c>
      <c r="G27">
        <v>1</v>
      </c>
      <c r="H27">
        <v>2</v>
      </c>
      <c r="I27" t="s">
        <v>270</v>
      </c>
      <c r="J27" t="s">
        <v>271</v>
      </c>
      <c r="K27" t="s">
        <v>272</v>
      </c>
      <c r="L27">
        <v>1368</v>
      </c>
      <c r="N27">
        <v>1011</v>
      </c>
      <c r="O27" t="s">
        <v>258</v>
      </c>
      <c r="P27" t="s">
        <v>258</v>
      </c>
      <c r="Q27">
        <v>1</v>
      </c>
      <c r="W27">
        <v>0</v>
      </c>
      <c r="X27">
        <v>-1587540238</v>
      </c>
      <c r="Y27">
        <f t="shared" si="0"/>
        <v>0.12</v>
      </c>
      <c r="AA27">
        <v>0</v>
      </c>
      <c r="AB27">
        <v>1434.42</v>
      </c>
      <c r="AC27">
        <v>444.29</v>
      </c>
      <c r="AD27">
        <v>0</v>
      </c>
      <c r="AE27">
        <v>0</v>
      </c>
      <c r="AF27">
        <v>115.4</v>
      </c>
      <c r="AG27">
        <v>13.5</v>
      </c>
      <c r="AH27">
        <v>0</v>
      </c>
      <c r="AI27">
        <v>1</v>
      </c>
      <c r="AJ27">
        <v>12.43</v>
      </c>
      <c r="AK27">
        <v>32.909999999999997</v>
      </c>
      <c r="AL27">
        <v>1</v>
      </c>
      <c r="AM27">
        <v>4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0.12</v>
      </c>
      <c r="AU27" t="s">
        <v>3</v>
      </c>
      <c r="AV27">
        <v>0</v>
      </c>
      <c r="AW27">
        <v>2</v>
      </c>
      <c r="AX27">
        <v>53680249</v>
      </c>
      <c r="AY27">
        <v>1</v>
      </c>
      <c r="AZ27">
        <v>0</v>
      </c>
      <c r="BA27">
        <v>30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ROUND(Y27*Source!I42,7)</f>
        <v>2.2032E-2</v>
      </c>
      <c r="CY27">
        <f>AB27</f>
        <v>1434.42</v>
      </c>
      <c r="CZ27">
        <f>AF27</f>
        <v>115.4</v>
      </c>
      <c r="DA27">
        <f>AJ27</f>
        <v>12.43</v>
      </c>
      <c r="DB27">
        <f t="shared" si="1"/>
        <v>14</v>
      </c>
      <c r="DC27">
        <f t="shared" si="2"/>
        <v>2</v>
      </c>
      <c r="DD27" t="s">
        <v>3</v>
      </c>
      <c r="DE27" t="s">
        <v>3</v>
      </c>
      <c r="DF27">
        <f>ROUND(ROUND(AE27,0)*CX27,0)</f>
        <v>0</v>
      </c>
      <c r="DG27">
        <f>ROUND(ROUND(AF27*AJ27,0)*CX27,0)</f>
        <v>32</v>
      </c>
      <c r="DH27">
        <f>ROUND(ROUND(AG27*AK27,0)*CX27,0)</f>
        <v>10</v>
      </c>
      <c r="DI27">
        <f t="shared" si="7"/>
        <v>0</v>
      </c>
      <c r="DJ27">
        <f>DG27</f>
        <v>32</v>
      </c>
      <c r="DK27">
        <v>0</v>
      </c>
      <c r="DL27" t="s">
        <v>3</v>
      </c>
      <c r="DM27">
        <v>0</v>
      </c>
      <c r="DN27" t="s">
        <v>3</v>
      </c>
      <c r="DO27">
        <v>0</v>
      </c>
    </row>
    <row r="28" spans="1:119" x14ac:dyDescent="0.2">
      <c r="A28">
        <f>ROW(Source!A42)</f>
        <v>42</v>
      </c>
      <c r="B28">
        <v>53679809</v>
      </c>
      <c r="C28">
        <v>53680235</v>
      </c>
      <c r="D28">
        <v>51630243</v>
      </c>
      <c r="E28">
        <v>1</v>
      </c>
      <c r="F28">
        <v>1</v>
      </c>
      <c r="G28">
        <v>1</v>
      </c>
      <c r="H28">
        <v>2</v>
      </c>
      <c r="I28" t="s">
        <v>262</v>
      </c>
      <c r="J28" t="s">
        <v>263</v>
      </c>
      <c r="K28" t="s">
        <v>264</v>
      </c>
      <c r="L28">
        <v>1368</v>
      </c>
      <c r="N28">
        <v>1011</v>
      </c>
      <c r="O28" t="s">
        <v>258</v>
      </c>
      <c r="P28" t="s">
        <v>258</v>
      </c>
      <c r="Q28">
        <v>1</v>
      </c>
      <c r="W28">
        <v>0</v>
      </c>
      <c r="X28">
        <v>-922938010</v>
      </c>
      <c r="Y28">
        <f t="shared" si="0"/>
        <v>0.15</v>
      </c>
      <c r="AA28">
        <v>0</v>
      </c>
      <c r="AB28">
        <v>816.78</v>
      </c>
      <c r="AC28">
        <v>381.76</v>
      </c>
      <c r="AD28">
        <v>0</v>
      </c>
      <c r="AE28">
        <v>0</v>
      </c>
      <c r="AF28">
        <v>65.709999999999994</v>
      </c>
      <c r="AG28">
        <v>11.6</v>
      </c>
      <c r="AH28">
        <v>0</v>
      </c>
      <c r="AI28">
        <v>1</v>
      </c>
      <c r="AJ28">
        <v>12.43</v>
      </c>
      <c r="AK28">
        <v>32.909999999999997</v>
      </c>
      <c r="AL28">
        <v>1</v>
      </c>
      <c r="AM28">
        <v>4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0.15</v>
      </c>
      <c r="AU28" t="s">
        <v>3</v>
      </c>
      <c r="AV28">
        <v>0</v>
      </c>
      <c r="AW28">
        <v>2</v>
      </c>
      <c r="AX28">
        <v>53680250</v>
      </c>
      <c r="AY28">
        <v>1</v>
      </c>
      <c r="AZ28">
        <v>0</v>
      </c>
      <c r="BA28">
        <v>31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ROUND(Y28*Source!I42,7)</f>
        <v>2.7539999999999999E-2</v>
      </c>
      <c r="CY28">
        <f>AB28</f>
        <v>816.78</v>
      </c>
      <c r="CZ28">
        <f>AF28</f>
        <v>65.709999999999994</v>
      </c>
      <c r="DA28">
        <f>AJ28</f>
        <v>12.43</v>
      </c>
      <c r="DB28">
        <f t="shared" si="1"/>
        <v>10</v>
      </c>
      <c r="DC28">
        <f t="shared" si="2"/>
        <v>2</v>
      </c>
      <c r="DD28" t="s">
        <v>3</v>
      </c>
      <c r="DE28" t="s">
        <v>3</v>
      </c>
      <c r="DF28">
        <f>ROUND(ROUND(AE28,0)*CX28,0)</f>
        <v>0</v>
      </c>
      <c r="DG28">
        <f>ROUND(ROUND(AF28*AJ28,0)*CX28,0)</f>
        <v>23</v>
      </c>
      <c r="DH28">
        <f>ROUND(ROUND(AG28*AK28,0)*CX28,0)</f>
        <v>11</v>
      </c>
      <c r="DI28">
        <f t="shared" si="7"/>
        <v>0</v>
      </c>
      <c r="DJ28">
        <f>DG28</f>
        <v>23</v>
      </c>
      <c r="DK28">
        <v>0</v>
      </c>
      <c r="DL28" t="s">
        <v>3</v>
      </c>
      <c r="DM28">
        <v>0</v>
      </c>
      <c r="DN28" t="s">
        <v>3</v>
      </c>
      <c r="DO28">
        <v>0</v>
      </c>
    </row>
    <row r="29" spans="1:119" x14ac:dyDescent="0.2">
      <c r="A29">
        <f>ROW(Source!A42)</f>
        <v>42</v>
      </c>
      <c r="B29">
        <v>53679809</v>
      </c>
      <c r="C29">
        <v>53680235</v>
      </c>
      <c r="D29">
        <v>51483032</v>
      </c>
      <c r="E29">
        <v>1</v>
      </c>
      <c r="F29">
        <v>1</v>
      </c>
      <c r="G29">
        <v>1</v>
      </c>
      <c r="H29">
        <v>3</v>
      </c>
      <c r="I29" t="s">
        <v>97</v>
      </c>
      <c r="J29" t="s">
        <v>100</v>
      </c>
      <c r="K29" t="s">
        <v>98</v>
      </c>
      <c r="L29">
        <v>1374</v>
      </c>
      <c r="N29">
        <v>1013</v>
      </c>
      <c r="O29" t="s">
        <v>99</v>
      </c>
      <c r="P29" t="s">
        <v>99</v>
      </c>
      <c r="Q29">
        <v>1</v>
      </c>
      <c r="W29">
        <v>0</v>
      </c>
      <c r="X29">
        <v>-2074729453</v>
      </c>
      <c r="Y29">
        <f t="shared" si="0"/>
        <v>2.83</v>
      </c>
      <c r="AA29">
        <v>9.3000000000000007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0</v>
      </c>
      <c r="AH29">
        <v>0</v>
      </c>
      <c r="AI29">
        <v>9.3000000000000007</v>
      </c>
      <c r="AJ29">
        <v>1</v>
      </c>
      <c r="AK29">
        <v>1</v>
      </c>
      <c r="AL29">
        <v>1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 t="s">
        <v>3</v>
      </c>
      <c r="AT29">
        <v>2.83</v>
      </c>
      <c r="AU29" t="s">
        <v>3</v>
      </c>
      <c r="AV29">
        <v>0</v>
      </c>
      <c r="AW29">
        <v>2</v>
      </c>
      <c r="AX29">
        <v>53680251</v>
      </c>
      <c r="AY29">
        <v>1</v>
      </c>
      <c r="AZ29">
        <v>0</v>
      </c>
      <c r="BA29">
        <v>32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ROUND(Y29*Source!I42,7)</f>
        <v>0.51958800000000005</v>
      </c>
      <c r="CY29">
        <f>AA29</f>
        <v>9.3000000000000007</v>
      </c>
      <c r="CZ29">
        <f>AE29</f>
        <v>1</v>
      </c>
      <c r="DA29">
        <f>AI29</f>
        <v>9.3000000000000007</v>
      </c>
      <c r="DB29">
        <f t="shared" si="1"/>
        <v>3</v>
      </c>
      <c r="DC29">
        <f t="shared" si="2"/>
        <v>0</v>
      </c>
      <c r="DD29" t="s">
        <v>3</v>
      </c>
      <c r="DE29" t="s">
        <v>3</v>
      </c>
      <c r="DF29">
        <f>ROUND(ROUND(AE29*AI29,0)*CX29,0)</f>
        <v>5</v>
      </c>
      <c r="DG29">
        <f t="shared" ref="DG29:DG35" si="8">ROUND(ROUND(AF29,0)*CX29,0)</f>
        <v>0</v>
      </c>
      <c r="DH29">
        <f t="shared" ref="DH29:DH34" si="9">ROUND(ROUND(AG29,0)*CX29,0)</f>
        <v>0</v>
      </c>
      <c r="DI29">
        <f t="shared" si="7"/>
        <v>0</v>
      </c>
      <c r="DJ29">
        <f>DF29</f>
        <v>5</v>
      </c>
      <c r="DK29">
        <v>0</v>
      </c>
      <c r="DL29" t="s">
        <v>3</v>
      </c>
      <c r="DM29">
        <v>0</v>
      </c>
      <c r="DN29" t="s">
        <v>3</v>
      </c>
      <c r="DO29">
        <v>0</v>
      </c>
    </row>
    <row r="30" spans="1:119" x14ac:dyDescent="0.2">
      <c r="A30">
        <f>ROW(Source!A42)</f>
        <v>42</v>
      </c>
      <c r="B30">
        <v>53679809</v>
      </c>
      <c r="C30">
        <v>53680235</v>
      </c>
      <c r="D30">
        <v>51481594</v>
      </c>
      <c r="E30">
        <v>1</v>
      </c>
      <c r="F30">
        <v>1</v>
      </c>
      <c r="G30">
        <v>1</v>
      </c>
      <c r="H30">
        <v>3</v>
      </c>
      <c r="I30" t="s">
        <v>305</v>
      </c>
      <c r="J30" t="s">
        <v>306</v>
      </c>
      <c r="K30" t="s">
        <v>307</v>
      </c>
      <c r="L30">
        <v>1348</v>
      </c>
      <c r="N30">
        <v>1009</v>
      </c>
      <c r="O30" t="s">
        <v>69</v>
      </c>
      <c r="P30" t="s">
        <v>69</v>
      </c>
      <c r="Q30">
        <v>1000</v>
      </c>
      <c r="W30">
        <v>0</v>
      </c>
      <c r="X30">
        <v>486008611</v>
      </c>
      <c r="Y30">
        <f t="shared" si="0"/>
        <v>1.5E-3</v>
      </c>
      <c r="AA30">
        <v>325602.3</v>
      </c>
      <c r="AB30">
        <v>0</v>
      </c>
      <c r="AC30">
        <v>0</v>
      </c>
      <c r="AD30">
        <v>0</v>
      </c>
      <c r="AE30">
        <v>35011</v>
      </c>
      <c r="AF30">
        <v>0</v>
      </c>
      <c r="AG30">
        <v>0</v>
      </c>
      <c r="AH30">
        <v>0</v>
      </c>
      <c r="AI30">
        <v>9.3000000000000007</v>
      </c>
      <c r="AJ30">
        <v>1</v>
      </c>
      <c r="AK30">
        <v>1</v>
      </c>
      <c r="AL30">
        <v>1</v>
      </c>
      <c r="AM30">
        <v>4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1.5E-3</v>
      </c>
      <c r="AU30" t="s">
        <v>3</v>
      </c>
      <c r="AV30">
        <v>0</v>
      </c>
      <c r="AW30">
        <v>2</v>
      </c>
      <c r="AX30">
        <v>53680252</v>
      </c>
      <c r="AY30">
        <v>1</v>
      </c>
      <c r="AZ30">
        <v>0</v>
      </c>
      <c r="BA30">
        <v>33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ROUND(Y30*Source!I42,7)</f>
        <v>2.7540000000000003E-4</v>
      </c>
      <c r="CY30">
        <f>AA30</f>
        <v>325602.3</v>
      </c>
      <c r="CZ30">
        <f>AE30</f>
        <v>35011</v>
      </c>
      <c r="DA30">
        <f>AI30</f>
        <v>9.3000000000000007</v>
      </c>
      <c r="DB30">
        <f t="shared" si="1"/>
        <v>53</v>
      </c>
      <c r="DC30">
        <f t="shared" si="2"/>
        <v>0</v>
      </c>
      <c r="DD30" t="s">
        <v>3</v>
      </c>
      <c r="DE30" t="s">
        <v>3</v>
      </c>
      <c r="DF30">
        <f>ROUND(ROUND(AE30*AI30,0)*CX30,0)</f>
        <v>90</v>
      </c>
      <c r="DG30">
        <f t="shared" si="8"/>
        <v>0</v>
      </c>
      <c r="DH30">
        <f t="shared" si="9"/>
        <v>0</v>
      </c>
      <c r="DI30">
        <f t="shared" si="7"/>
        <v>0</v>
      </c>
      <c r="DJ30">
        <f>DF30</f>
        <v>90</v>
      </c>
      <c r="DK30">
        <v>0</v>
      </c>
      <c r="DL30" t="s">
        <v>3</v>
      </c>
      <c r="DM30">
        <v>0</v>
      </c>
      <c r="DN30" t="s">
        <v>3</v>
      </c>
      <c r="DO30">
        <v>0</v>
      </c>
    </row>
    <row r="31" spans="1:119" x14ac:dyDescent="0.2">
      <c r="A31">
        <f>ROW(Source!A42)</f>
        <v>42</v>
      </c>
      <c r="B31">
        <v>53679809</v>
      </c>
      <c r="C31">
        <v>53680235</v>
      </c>
      <c r="D31">
        <v>51481800</v>
      </c>
      <c r="E31">
        <v>1</v>
      </c>
      <c r="F31">
        <v>1</v>
      </c>
      <c r="G31">
        <v>1</v>
      </c>
      <c r="H31">
        <v>3</v>
      </c>
      <c r="I31" t="s">
        <v>308</v>
      </c>
      <c r="J31" t="s">
        <v>309</v>
      </c>
      <c r="K31" t="s">
        <v>310</v>
      </c>
      <c r="L31">
        <v>1348</v>
      </c>
      <c r="N31">
        <v>1009</v>
      </c>
      <c r="O31" t="s">
        <v>69</v>
      </c>
      <c r="P31" t="s">
        <v>69</v>
      </c>
      <c r="Q31">
        <v>1000</v>
      </c>
      <c r="W31">
        <v>0</v>
      </c>
      <c r="X31">
        <v>208363629</v>
      </c>
      <c r="Y31">
        <f t="shared" si="0"/>
        <v>5.0000000000000001E-4</v>
      </c>
      <c r="AA31">
        <v>88591.8</v>
      </c>
      <c r="AB31">
        <v>0</v>
      </c>
      <c r="AC31">
        <v>0</v>
      </c>
      <c r="AD31">
        <v>0</v>
      </c>
      <c r="AE31">
        <v>9526</v>
      </c>
      <c r="AF31">
        <v>0</v>
      </c>
      <c r="AG31">
        <v>0</v>
      </c>
      <c r="AH31">
        <v>0</v>
      </c>
      <c r="AI31">
        <v>9.3000000000000007</v>
      </c>
      <c r="AJ31">
        <v>1</v>
      </c>
      <c r="AK31">
        <v>1</v>
      </c>
      <c r="AL31">
        <v>1</v>
      </c>
      <c r="AM31">
        <v>4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5.0000000000000001E-4</v>
      </c>
      <c r="AU31" t="s">
        <v>3</v>
      </c>
      <c r="AV31">
        <v>0</v>
      </c>
      <c r="AW31">
        <v>2</v>
      </c>
      <c r="AX31">
        <v>53680253</v>
      </c>
      <c r="AY31">
        <v>1</v>
      </c>
      <c r="AZ31">
        <v>0</v>
      </c>
      <c r="BA31">
        <v>34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ROUND(Y31*Source!I42,7)</f>
        <v>9.1799999999999995E-5</v>
      </c>
      <c r="CY31">
        <f>AA31</f>
        <v>88591.8</v>
      </c>
      <c r="CZ31">
        <f>AE31</f>
        <v>9526</v>
      </c>
      <c r="DA31">
        <f>AI31</f>
        <v>9.3000000000000007</v>
      </c>
      <c r="DB31">
        <f t="shared" si="1"/>
        <v>5</v>
      </c>
      <c r="DC31">
        <f t="shared" si="2"/>
        <v>0</v>
      </c>
      <c r="DD31" t="s">
        <v>3</v>
      </c>
      <c r="DE31" t="s">
        <v>3</v>
      </c>
      <c r="DF31">
        <f>ROUND(ROUND(AE31*AI31,0)*CX31,0)</f>
        <v>8</v>
      </c>
      <c r="DG31">
        <f t="shared" si="8"/>
        <v>0</v>
      </c>
      <c r="DH31">
        <f t="shared" si="9"/>
        <v>0</v>
      </c>
      <c r="DI31">
        <f t="shared" si="7"/>
        <v>0</v>
      </c>
      <c r="DJ31">
        <f>DF31</f>
        <v>8</v>
      </c>
      <c r="DK31">
        <v>0</v>
      </c>
      <c r="DL31" t="s">
        <v>3</v>
      </c>
      <c r="DM31">
        <v>0</v>
      </c>
      <c r="DN31" t="s">
        <v>3</v>
      </c>
      <c r="DO31">
        <v>0</v>
      </c>
    </row>
    <row r="32" spans="1:119" x14ac:dyDescent="0.2">
      <c r="A32">
        <f>ROW(Source!A42)</f>
        <v>42</v>
      </c>
      <c r="B32">
        <v>53679809</v>
      </c>
      <c r="C32">
        <v>53680235</v>
      </c>
      <c r="D32">
        <v>51470020</v>
      </c>
      <c r="E32">
        <v>52</v>
      </c>
      <c r="F32">
        <v>1</v>
      </c>
      <c r="G32">
        <v>1</v>
      </c>
      <c r="H32">
        <v>3</v>
      </c>
      <c r="I32" t="s">
        <v>102</v>
      </c>
      <c r="J32" t="s">
        <v>3</v>
      </c>
      <c r="K32" t="s">
        <v>103</v>
      </c>
      <c r="L32">
        <v>1371</v>
      </c>
      <c r="N32">
        <v>1013</v>
      </c>
      <c r="O32" t="s">
        <v>32</v>
      </c>
      <c r="P32" t="s">
        <v>32</v>
      </c>
      <c r="Q32">
        <v>1</v>
      </c>
      <c r="W32">
        <v>0</v>
      </c>
      <c r="X32">
        <v>1343289937</v>
      </c>
      <c r="Y32">
        <f t="shared" si="0"/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9.3000000000000007</v>
      </c>
      <c r="AJ32">
        <v>1</v>
      </c>
      <c r="AK32">
        <v>1</v>
      </c>
      <c r="AL32">
        <v>1</v>
      </c>
      <c r="AM32">
        <v>0</v>
      </c>
      <c r="AN32">
        <v>1</v>
      </c>
      <c r="AO32">
        <v>0</v>
      </c>
      <c r="AP32">
        <v>0</v>
      </c>
      <c r="AQ32">
        <v>0</v>
      </c>
      <c r="AR32">
        <v>0</v>
      </c>
      <c r="AS32" t="s">
        <v>3</v>
      </c>
      <c r="AT32">
        <v>0</v>
      </c>
      <c r="AU32" t="s">
        <v>3</v>
      </c>
      <c r="AV32">
        <v>0</v>
      </c>
      <c r="AW32">
        <v>2</v>
      </c>
      <c r="AX32">
        <v>53680254</v>
      </c>
      <c r="AY32">
        <v>1</v>
      </c>
      <c r="AZ32">
        <v>0</v>
      </c>
      <c r="BA32">
        <v>35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ROUND(Y32*Source!I42,7)</f>
        <v>0</v>
      </c>
      <c r="CY32">
        <f>AA32</f>
        <v>0</v>
      </c>
      <c r="CZ32">
        <f>AE32</f>
        <v>0</v>
      </c>
      <c r="DA32">
        <f>AI32</f>
        <v>9.3000000000000007</v>
      </c>
      <c r="DB32">
        <f t="shared" si="1"/>
        <v>0</v>
      </c>
      <c r="DC32">
        <f t="shared" si="2"/>
        <v>0</v>
      </c>
      <c r="DD32" t="s">
        <v>3</v>
      </c>
      <c r="DE32" t="s">
        <v>3</v>
      </c>
      <c r="DF32">
        <f>ROUND(ROUND(AE32*AI32,0)*CX32,0)</f>
        <v>0</v>
      </c>
      <c r="DG32">
        <f t="shared" si="8"/>
        <v>0</v>
      </c>
      <c r="DH32">
        <f t="shared" si="9"/>
        <v>0</v>
      </c>
      <c r="DI32">
        <f t="shared" si="7"/>
        <v>0</v>
      </c>
      <c r="DJ32">
        <f>DF32</f>
        <v>0</v>
      </c>
      <c r="DK32">
        <v>0</v>
      </c>
      <c r="DL32" t="s">
        <v>3</v>
      </c>
      <c r="DM32">
        <v>0</v>
      </c>
      <c r="DN32" t="s">
        <v>3</v>
      </c>
      <c r="DO32">
        <v>0</v>
      </c>
    </row>
    <row r="33" spans="1:119" x14ac:dyDescent="0.2">
      <c r="A33">
        <f>ROW(Source!A42)</f>
        <v>42</v>
      </c>
      <c r="B33">
        <v>53679809</v>
      </c>
      <c r="C33">
        <v>53680235</v>
      </c>
      <c r="D33">
        <v>51470181</v>
      </c>
      <c r="E33">
        <v>52</v>
      </c>
      <c r="F33">
        <v>1</v>
      </c>
      <c r="G33">
        <v>1</v>
      </c>
      <c r="H33">
        <v>3</v>
      </c>
      <c r="I33" t="s">
        <v>105</v>
      </c>
      <c r="J33" t="s">
        <v>3</v>
      </c>
      <c r="K33" t="s">
        <v>106</v>
      </c>
      <c r="L33">
        <v>1348</v>
      </c>
      <c r="N33">
        <v>1009</v>
      </c>
      <c r="O33" t="s">
        <v>69</v>
      </c>
      <c r="P33" t="s">
        <v>69</v>
      </c>
      <c r="Q33">
        <v>1000</v>
      </c>
      <c r="W33">
        <v>0</v>
      </c>
      <c r="X33">
        <v>1851278475</v>
      </c>
      <c r="Y33">
        <f t="shared" si="0"/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9.3000000000000007</v>
      </c>
      <c r="AJ33">
        <v>1</v>
      </c>
      <c r="AK33">
        <v>1</v>
      </c>
      <c r="AL33">
        <v>1</v>
      </c>
      <c r="AM33">
        <v>0</v>
      </c>
      <c r="AN33">
        <v>1</v>
      </c>
      <c r="AO33">
        <v>0</v>
      </c>
      <c r="AP33">
        <v>0</v>
      </c>
      <c r="AQ33">
        <v>0</v>
      </c>
      <c r="AR33">
        <v>0</v>
      </c>
      <c r="AS33" t="s">
        <v>3</v>
      </c>
      <c r="AT33">
        <v>0</v>
      </c>
      <c r="AU33" t="s">
        <v>3</v>
      </c>
      <c r="AV33">
        <v>0</v>
      </c>
      <c r="AW33">
        <v>2</v>
      </c>
      <c r="AX33">
        <v>53680255</v>
      </c>
      <c r="AY33">
        <v>1</v>
      </c>
      <c r="AZ33">
        <v>0</v>
      </c>
      <c r="BA33">
        <v>36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ROUND(Y33*Source!I42,7)</f>
        <v>0</v>
      </c>
      <c r="CY33">
        <f>AA33</f>
        <v>0</v>
      </c>
      <c r="CZ33">
        <f>AE33</f>
        <v>0</v>
      </c>
      <c r="DA33">
        <f>AI33</f>
        <v>9.3000000000000007</v>
      </c>
      <c r="DB33">
        <f t="shared" si="1"/>
        <v>0</v>
      </c>
      <c r="DC33">
        <f t="shared" si="2"/>
        <v>0</v>
      </c>
      <c r="DD33" t="s">
        <v>3</v>
      </c>
      <c r="DE33" t="s">
        <v>3</v>
      </c>
      <c r="DF33">
        <f>ROUND(ROUND(AE33*AI33,0)*CX33,0)</f>
        <v>0</v>
      </c>
      <c r="DG33">
        <f t="shared" si="8"/>
        <v>0</v>
      </c>
      <c r="DH33">
        <f t="shared" si="9"/>
        <v>0</v>
      </c>
      <c r="DI33">
        <f t="shared" si="7"/>
        <v>0</v>
      </c>
      <c r="DJ33">
        <f>DF33</f>
        <v>0</v>
      </c>
      <c r="DK33">
        <v>0</v>
      </c>
      <c r="DL33" t="s">
        <v>3</v>
      </c>
      <c r="DM33">
        <v>0</v>
      </c>
      <c r="DN33" t="s">
        <v>3</v>
      </c>
      <c r="DO33">
        <v>0</v>
      </c>
    </row>
    <row r="34" spans="1:119" x14ac:dyDescent="0.2">
      <c r="A34">
        <f>ROW(Source!A47)</f>
        <v>47</v>
      </c>
      <c r="B34">
        <v>53679809</v>
      </c>
      <c r="C34">
        <v>53680603</v>
      </c>
      <c r="D34">
        <v>47133210</v>
      </c>
      <c r="E34">
        <v>52</v>
      </c>
      <c r="F34">
        <v>1</v>
      </c>
      <c r="G34">
        <v>1</v>
      </c>
      <c r="H34">
        <v>1</v>
      </c>
      <c r="I34" t="s">
        <v>311</v>
      </c>
      <c r="J34" t="s">
        <v>3</v>
      </c>
      <c r="K34" t="s">
        <v>312</v>
      </c>
      <c r="L34">
        <v>1191</v>
      </c>
      <c r="N34">
        <v>1013</v>
      </c>
      <c r="O34" t="s">
        <v>252</v>
      </c>
      <c r="P34" t="s">
        <v>252</v>
      </c>
      <c r="Q34">
        <v>1</v>
      </c>
      <c r="W34">
        <v>0</v>
      </c>
      <c r="X34">
        <v>-228054128</v>
      </c>
      <c r="Y34">
        <f t="shared" si="0"/>
        <v>67.7</v>
      </c>
      <c r="AA34">
        <v>0</v>
      </c>
      <c r="AB34">
        <v>0</v>
      </c>
      <c r="AC34">
        <v>0</v>
      </c>
      <c r="AD34">
        <v>263.94</v>
      </c>
      <c r="AE34">
        <v>0</v>
      </c>
      <c r="AF34">
        <v>0</v>
      </c>
      <c r="AG34">
        <v>0</v>
      </c>
      <c r="AH34">
        <v>8.02</v>
      </c>
      <c r="AI34">
        <v>1</v>
      </c>
      <c r="AJ34">
        <v>1</v>
      </c>
      <c r="AK34">
        <v>1</v>
      </c>
      <c r="AL34">
        <v>32.909999999999997</v>
      </c>
      <c r="AM34">
        <v>4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67.7</v>
      </c>
      <c r="AU34" t="s">
        <v>3</v>
      </c>
      <c r="AV34">
        <v>1</v>
      </c>
      <c r="AW34">
        <v>2</v>
      </c>
      <c r="AX34">
        <v>53680612</v>
      </c>
      <c r="AY34">
        <v>1</v>
      </c>
      <c r="AZ34">
        <v>0</v>
      </c>
      <c r="BA34">
        <v>37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ROUND(Y34*Source!I47,7)</f>
        <v>0.67700000000000005</v>
      </c>
      <c r="CY34">
        <f>AD34</f>
        <v>263.94</v>
      </c>
      <c r="CZ34">
        <f>AH34</f>
        <v>8.02</v>
      </c>
      <c r="DA34">
        <f>AL34</f>
        <v>32.909999999999997</v>
      </c>
      <c r="DB34">
        <f t="shared" si="1"/>
        <v>543</v>
      </c>
      <c r="DC34">
        <f t="shared" si="2"/>
        <v>0</v>
      </c>
      <c r="DD34" t="s">
        <v>3</v>
      </c>
      <c r="DE34" t="s">
        <v>3</v>
      </c>
      <c r="DF34">
        <f>ROUND(ROUND(AE34,0)*CX34,0)</f>
        <v>0</v>
      </c>
      <c r="DG34">
        <f t="shared" si="8"/>
        <v>0</v>
      </c>
      <c r="DH34">
        <f t="shared" si="9"/>
        <v>0</v>
      </c>
      <c r="DI34">
        <f>ROUND(ROUND(AH34*AL34,0)*CX34,0)</f>
        <v>179</v>
      </c>
      <c r="DJ34">
        <f>DI34</f>
        <v>179</v>
      </c>
      <c r="DK34">
        <v>0</v>
      </c>
      <c r="DL34" t="s">
        <v>3</v>
      </c>
      <c r="DM34">
        <v>0</v>
      </c>
      <c r="DN34" t="s">
        <v>3</v>
      </c>
      <c r="DO34">
        <v>0</v>
      </c>
    </row>
    <row r="35" spans="1:119" x14ac:dyDescent="0.2">
      <c r="A35">
        <f>ROW(Source!A47)</f>
        <v>47</v>
      </c>
      <c r="B35">
        <v>53679809</v>
      </c>
      <c r="C35">
        <v>53680603</v>
      </c>
      <c r="D35">
        <v>47133177</v>
      </c>
      <c r="E35">
        <v>52</v>
      </c>
      <c r="F35">
        <v>1</v>
      </c>
      <c r="G35">
        <v>1</v>
      </c>
      <c r="H35">
        <v>1</v>
      </c>
      <c r="I35" t="s">
        <v>253</v>
      </c>
      <c r="J35" t="s">
        <v>3</v>
      </c>
      <c r="K35" t="s">
        <v>254</v>
      </c>
      <c r="L35">
        <v>1191</v>
      </c>
      <c r="N35">
        <v>1013</v>
      </c>
      <c r="O35" t="s">
        <v>252</v>
      </c>
      <c r="P35" t="s">
        <v>252</v>
      </c>
      <c r="Q35">
        <v>1</v>
      </c>
      <c r="W35">
        <v>0</v>
      </c>
      <c r="X35">
        <v>-1417349443</v>
      </c>
      <c r="Y35">
        <f t="shared" si="0"/>
        <v>4.2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1</v>
      </c>
      <c r="AJ35">
        <v>1</v>
      </c>
      <c r="AK35">
        <v>32.909999999999997</v>
      </c>
      <c r="AL35">
        <v>1</v>
      </c>
      <c r="AM35">
        <v>4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4.2</v>
      </c>
      <c r="AU35" t="s">
        <v>3</v>
      </c>
      <c r="AV35">
        <v>2</v>
      </c>
      <c r="AW35">
        <v>2</v>
      </c>
      <c r="AX35">
        <v>53680613</v>
      </c>
      <c r="AY35">
        <v>1</v>
      </c>
      <c r="AZ35">
        <v>0</v>
      </c>
      <c r="BA35">
        <v>38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ROUND(Y35*Source!I47,7)</f>
        <v>4.2000000000000003E-2</v>
      </c>
      <c r="CY35">
        <f>AD35</f>
        <v>0</v>
      </c>
      <c r="CZ35">
        <f>AH35</f>
        <v>0</v>
      </c>
      <c r="DA35">
        <f>AL35</f>
        <v>1</v>
      </c>
      <c r="DB35">
        <f t="shared" si="1"/>
        <v>0</v>
      </c>
      <c r="DC35">
        <f t="shared" si="2"/>
        <v>0</v>
      </c>
      <c r="DD35" t="s">
        <v>3</v>
      </c>
      <c r="DE35" t="s">
        <v>3</v>
      </c>
      <c r="DF35">
        <f>ROUND(ROUND(AE35,0)*CX35,0)</f>
        <v>0</v>
      </c>
      <c r="DG35">
        <f t="shared" si="8"/>
        <v>0</v>
      </c>
      <c r="DH35">
        <f>ROUND(ROUND(AG35*AK35,0)*CX35,0)</f>
        <v>0</v>
      </c>
      <c r="DI35">
        <f t="shared" ref="DI35:DI41" si="10">ROUND(ROUND(AH35,0)*CX35,0)</f>
        <v>0</v>
      </c>
      <c r="DJ35">
        <f>DI35</f>
        <v>0</v>
      </c>
      <c r="DK35">
        <v>0</v>
      </c>
      <c r="DL35" t="s">
        <v>3</v>
      </c>
      <c r="DM35">
        <v>0</v>
      </c>
      <c r="DN35" t="s">
        <v>3</v>
      </c>
      <c r="DO35">
        <v>0</v>
      </c>
    </row>
    <row r="36" spans="1:119" x14ac:dyDescent="0.2">
      <c r="A36">
        <f>ROW(Source!A47)</f>
        <v>47</v>
      </c>
      <c r="B36">
        <v>53679809</v>
      </c>
      <c r="C36">
        <v>53680603</v>
      </c>
      <c r="D36">
        <v>51629427</v>
      </c>
      <c r="E36">
        <v>1</v>
      </c>
      <c r="F36">
        <v>1</v>
      </c>
      <c r="G36">
        <v>1</v>
      </c>
      <c r="H36">
        <v>2</v>
      </c>
      <c r="I36" t="s">
        <v>313</v>
      </c>
      <c r="J36" t="s">
        <v>314</v>
      </c>
      <c r="K36" t="s">
        <v>315</v>
      </c>
      <c r="L36">
        <v>1368</v>
      </c>
      <c r="N36">
        <v>1011</v>
      </c>
      <c r="O36" t="s">
        <v>258</v>
      </c>
      <c r="P36" t="s">
        <v>258</v>
      </c>
      <c r="Q36">
        <v>1</v>
      </c>
      <c r="W36">
        <v>0</v>
      </c>
      <c r="X36">
        <v>239474051</v>
      </c>
      <c r="Y36">
        <f t="shared" si="0"/>
        <v>1.73</v>
      </c>
      <c r="AA36">
        <v>0</v>
      </c>
      <c r="AB36">
        <v>388.56</v>
      </c>
      <c r="AC36">
        <v>444.29</v>
      </c>
      <c r="AD36">
        <v>0</v>
      </c>
      <c r="AE36">
        <v>0</v>
      </c>
      <c r="AF36">
        <v>31.26</v>
      </c>
      <c r="AG36">
        <v>13.5</v>
      </c>
      <c r="AH36">
        <v>0</v>
      </c>
      <c r="AI36">
        <v>1</v>
      </c>
      <c r="AJ36">
        <v>12.43</v>
      </c>
      <c r="AK36">
        <v>32.909999999999997</v>
      </c>
      <c r="AL36">
        <v>1</v>
      </c>
      <c r="AM36">
        <v>4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1.73</v>
      </c>
      <c r="AU36" t="s">
        <v>3</v>
      </c>
      <c r="AV36">
        <v>0</v>
      </c>
      <c r="AW36">
        <v>2</v>
      </c>
      <c r="AX36">
        <v>53680614</v>
      </c>
      <c r="AY36">
        <v>1</v>
      </c>
      <c r="AZ36">
        <v>0</v>
      </c>
      <c r="BA36">
        <v>39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ROUND(Y36*Source!I47,7)</f>
        <v>1.7299999999999999E-2</v>
      </c>
      <c r="CY36">
        <f>AB36</f>
        <v>388.56</v>
      </c>
      <c r="CZ36">
        <f>AF36</f>
        <v>31.26</v>
      </c>
      <c r="DA36">
        <f>AJ36</f>
        <v>12.43</v>
      </c>
      <c r="DB36">
        <f t="shared" si="1"/>
        <v>54</v>
      </c>
      <c r="DC36">
        <f t="shared" si="2"/>
        <v>23</v>
      </c>
      <c r="DD36" t="s">
        <v>3</v>
      </c>
      <c r="DE36" t="s">
        <v>3</v>
      </c>
      <c r="DF36">
        <f>ROUND(ROUND(AE36,0)*CX36,0)</f>
        <v>0</v>
      </c>
      <c r="DG36">
        <f>ROUND(ROUND(AF36*AJ36,0)*CX36,0)</f>
        <v>7</v>
      </c>
      <c r="DH36">
        <f>ROUND(ROUND(AG36*AK36,0)*CX36,0)</f>
        <v>8</v>
      </c>
      <c r="DI36">
        <f t="shared" si="10"/>
        <v>0</v>
      </c>
      <c r="DJ36">
        <f>DG36</f>
        <v>7</v>
      </c>
      <c r="DK36">
        <v>0</v>
      </c>
      <c r="DL36" t="s">
        <v>3</v>
      </c>
      <c r="DM36">
        <v>0</v>
      </c>
      <c r="DN36" t="s">
        <v>3</v>
      </c>
      <c r="DO36">
        <v>0</v>
      </c>
    </row>
    <row r="37" spans="1:119" x14ac:dyDescent="0.2">
      <c r="A37">
        <f>ROW(Source!A47)</f>
        <v>47</v>
      </c>
      <c r="B37">
        <v>53679809</v>
      </c>
      <c r="C37">
        <v>53680603</v>
      </c>
      <c r="D37">
        <v>51630243</v>
      </c>
      <c r="E37">
        <v>1</v>
      </c>
      <c r="F37">
        <v>1</v>
      </c>
      <c r="G37">
        <v>1</v>
      </c>
      <c r="H37">
        <v>2</v>
      </c>
      <c r="I37" t="s">
        <v>262</v>
      </c>
      <c r="J37" t="s">
        <v>263</v>
      </c>
      <c r="K37" t="s">
        <v>264</v>
      </c>
      <c r="L37">
        <v>1368</v>
      </c>
      <c r="N37">
        <v>1011</v>
      </c>
      <c r="O37" t="s">
        <v>258</v>
      </c>
      <c r="P37" t="s">
        <v>258</v>
      </c>
      <c r="Q37">
        <v>1</v>
      </c>
      <c r="W37">
        <v>0</v>
      </c>
      <c r="X37">
        <v>-922938010</v>
      </c>
      <c r="Y37">
        <f t="shared" si="0"/>
        <v>2.4700000000000002</v>
      </c>
      <c r="AA37">
        <v>0</v>
      </c>
      <c r="AB37">
        <v>816.78</v>
      </c>
      <c r="AC37">
        <v>381.76</v>
      </c>
      <c r="AD37">
        <v>0</v>
      </c>
      <c r="AE37">
        <v>0</v>
      </c>
      <c r="AF37">
        <v>65.709999999999994</v>
      </c>
      <c r="AG37">
        <v>11.6</v>
      </c>
      <c r="AH37">
        <v>0</v>
      </c>
      <c r="AI37">
        <v>1</v>
      </c>
      <c r="AJ37">
        <v>12.43</v>
      </c>
      <c r="AK37">
        <v>32.909999999999997</v>
      </c>
      <c r="AL37">
        <v>1</v>
      </c>
      <c r="AM37">
        <v>4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2.4700000000000002</v>
      </c>
      <c r="AU37" t="s">
        <v>3</v>
      </c>
      <c r="AV37">
        <v>0</v>
      </c>
      <c r="AW37">
        <v>2</v>
      </c>
      <c r="AX37">
        <v>53680615</v>
      </c>
      <c r="AY37">
        <v>1</v>
      </c>
      <c r="AZ37">
        <v>0</v>
      </c>
      <c r="BA37">
        <v>40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ROUND(Y37*Source!I47,7)</f>
        <v>2.47E-2</v>
      </c>
      <c r="CY37">
        <f>AB37</f>
        <v>816.78</v>
      </c>
      <c r="CZ37">
        <f>AF37</f>
        <v>65.709999999999994</v>
      </c>
      <c r="DA37">
        <f>AJ37</f>
        <v>12.43</v>
      </c>
      <c r="DB37">
        <f t="shared" si="1"/>
        <v>162</v>
      </c>
      <c r="DC37">
        <f t="shared" si="2"/>
        <v>29</v>
      </c>
      <c r="DD37" t="s">
        <v>3</v>
      </c>
      <c r="DE37" t="s">
        <v>3</v>
      </c>
      <c r="DF37">
        <f>ROUND(ROUND(AE37,0)*CX37,0)</f>
        <v>0</v>
      </c>
      <c r="DG37">
        <f>ROUND(ROUND(AF37*AJ37,0)*CX37,0)</f>
        <v>20</v>
      </c>
      <c r="DH37">
        <f>ROUND(ROUND(AG37*AK37,0)*CX37,0)</f>
        <v>9</v>
      </c>
      <c r="DI37">
        <f t="shared" si="10"/>
        <v>0</v>
      </c>
      <c r="DJ37">
        <f>DG37</f>
        <v>20</v>
      </c>
      <c r="DK37">
        <v>0</v>
      </c>
      <c r="DL37" t="s">
        <v>3</v>
      </c>
      <c r="DM37">
        <v>0</v>
      </c>
      <c r="DN37" t="s">
        <v>3</v>
      </c>
      <c r="DO37">
        <v>0</v>
      </c>
    </row>
    <row r="38" spans="1:119" x14ac:dyDescent="0.2">
      <c r="A38">
        <f>ROW(Source!A47)</f>
        <v>47</v>
      </c>
      <c r="B38">
        <v>53679809</v>
      </c>
      <c r="C38">
        <v>53680603</v>
      </c>
      <c r="D38">
        <v>51481661</v>
      </c>
      <c r="E38">
        <v>1</v>
      </c>
      <c r="F38">
        <v>1</v>
      </c>
      <c r="G38">
        <v>1</v>
      </c>
      <c r="H38">
        <v>3</v>
      </c>
      <c r="I38" t="s">
        <v>277</v>
      </c>
      <c r="J38" t="s">
        <v>278</v>
      </c>
      <c r="K38" t="s">
        <v>279</v>
      </c>
      <c r="L38">
        <v>1348</v>
      </c>
      <c r="N38">
        <v>1009</v>
      </c>
      <c r="O38" t="s">
        <v>69</v>
      </c>
      <c r="P38" t="s">
        <v>69</v>
      </c>
      <c r="Q38">
        <v>1000</v>
      </c>
      <c r="W38">
        <v>0</v>
      </c>
      <c r="X38">
        <v>1946717098</v>
      </c>
      <c r="Y38">
        <f t="shared" si="0"/>
        <v>1.2E-2</v>
      </c>
      <c r="AA38">
        <v>111395.4</v>
      </c>
      <c r="AB38">
        <v>0</v>
      </c>
      <c r="AC38">
        <v>0</v>
      </c>
      <c r="AD38">
        <v>0</v>
      </c>
      <c r="AE38">
        <v>11978</v>
      </c>
      <c r="AF38">
        <v>0</v>
      </c>
      <c r="AG38">
        <v>0</v>
      </c>
      <c r="AH38">
        <v>0</v>
      </c>
      <c r="AI38">
        <v>9.3000000000000007</v>
      </c>
      <c r="AJ38">
        <v>1</v>
      </c>
      <c r="AK38">
        <v>1</v>
      </c>
      <c r="AL38">
        <v>1</v>
      </c>
      <c r="AM38">
        <v>4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1.2E-2</v>
      </c>
      <c r="AU38" t="s">
        <v>3</v>
      </c>
      <c r="AV38">
        <v>0</v>
      </c>
      <c r="AW38">
        <v>2</v>
      </c>
      <c r="AX38">
        <v>53680616</v>
      </c>
      <c r="AY38">
        <v>1</v>
      </c>
      <c r="AZ38">
        <v>0</v>
      </c>
      <c r="BA38">
        <v>41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ROUND(Y38*Source!I47,7)</f>
        <v>1.2E-4</v>
      </c>
      <c r="CY38">
        <f>AA38</f>
        <v>111395.4</v>
      </c>
      <c r="CZ38">
        <f>AE38</f>
        <v>11978</v>
      </c>
      <c r="DA38">
        <f>AI38</f>
        <v>9.3000000000000007</v>
      </c>
      <c r="DB38">
        <f t="shared" si="1"/>
        <v>144</v>
      </c>
      <c r="DC38">
        <f t="shared" si="2"/>
        <v>0</v>
      </c>
      <c r="DD38" t="s">
        <v>3</v>
      </c>
      <c r="DE38" t="s">
        <v>3</v>
      </c>
      <c r="DF38">
        <f>ROUND(ROUND(AE38*AI38,0)*CX38,0)</f>
        <v>13</v>
      </c>
      <c r="DG38">
        <f>ROUND(ROUND(AF38,0)*CX38,0)</f>
        <v>0</v>
      </c>
      <c r="DH38">
        <f>ROUND(ROUND(AG38,0)*CX38,0)</f>
        <v>0</v>
      </c>
      <c r="DI38">
        <f t="shared" si="10"/>
        <v>0</v>
      </c>
      <c r="DJ38">
        <f>DF38</f>
        <v>13</v>
      </c>
      <c r="DK38">
        <v>0</v>
      </c>
      <c r="DL38" t="s">
        <v>3</v>
      </c>
      <c r="DM38">
        <v>0</v>
      </c>
      <c r="DN38" t="s">
        <v>3</v>
      </c>
      <c r="DO38">
        <v>0</v>
      </c>
    </row>
    <row r="39" spans="1:119" x14ac:dyDescent="0.2">
      <c r="A39">
        <f>ROW(Source!A47)</f>
        <v>47</v>
      </c>
      <c r="B39">
        <v>53679809</v>
      </c>
      <c r="C39">
        <v>53680603</v>
      </c>
      <c r="D39">
        <v>51497347</v>
      </c>
      <c r="E39">
        <v>1</v>
      </c>
      <c r="F39">
        <v>1</v>
      </c>
      <c r="G39">
        <v>1</v>
      </c>
      <c r="H39">
        <v>3</v>
      </c>
      <c r="I39" t="s">
        <v>316</v>
      </c>
      <c r="J39" t="s">
        <v>317</v>
      </c>
      <c r="K39" t="s">
        <v>318</v>
      </c>
      <c r="L39">
        <v>1348</v>
      </c>
      <c r="N39">
        <v>1009</v>
      </c>
      <c r="O39" t="s">
        <v>69</v>
      </c>
      <c r="P39" t="s">
        <v>69</v>
      </c>
      <c r="Q39">
        <v>1000</v>
      </c>
      <c r="W39">
        <v>0</v>
      </c>
      <c r="X39">
        <v>81181086</v>
      </c>
      <c r="Y39">
        <f t="shared" si="0"/>
        <v>3.5000000000000003E-2</v>
      </c>
      <c r="AA39">
        <v>55697.7</v>
      </c>
      <c r="AB39">
        <v>0</v>
      </c>
      <c r="AC39">
        <v>0</v>
      </c>
      <c r="AD39">
        <v>0</v>
      </c>
      <c r="AE39">
        <v>5989</v>
      </c>
      <c r="AF39">
        <v>0</v>
      </c>
      <c r="AG39">
        <v>0</v>
      </c>
      <c r="AH39">
        <v>0</v>
      </c>
      <c r="AI39">
        <v>9.3000000000000007</v>
      </c>
      <c r="AJ39">
        <v>1</v>
      </c>
      <c r="AK39">
        <v>1</v>
      </c>
      <c r="AL39">
        <v>1</v>
      </c>
      <c r="AM39">
        <v>4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3.5000000000000003E-2</v>
      </c>
      <c r="AU39" t="s">
        <v>3</v>
      </c>
      <c r="AV39">
        <v>0</v>
      </c>
      <c r="AW39">
        <v>2</v>
      </c>
      <c r="AX39">
        <v>53680617</v>
      </c>
      <c r="AY39">
        <v>1</v>
      </c>
      <c r="AZ39">
        <v>0</v>
      </c>
      <c r="BA39">
        <v>42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ROUND(Y39*Source!I47,7)</f>
        <v>3.5E-4</v>
      </c>
      <c r="CY39">
        <f>AA39</f>
        <v>55697.7</v>
      </c>
      <c r="CZ39">
        <f>AE39</f>
        <v>5989</v>
      </c>
      <c r="DA39">
        <f>AI39</f>
        <v>9.3000000000000007</v>
      </c>
      <c r="DB39">
        <f t="shared" si="1"/>
        <v>210</v>
      </c>
      <c r="DC39">
        <f t="shared" si="2"/>
        <v>0</v>
      </c>
      <c r="DD39" t="s">
        <v>3</v>
      </c>
      <c r="DE39" t="s">
        <v>3</v>
      </c>
      <c r="DF39">
        <f>ROUND(ROUND(AE39*AI39,0)*CX39,0)</f>
        <v>19</v>
      </c>
      <c r="DG39">
        <f>ROUND(ROUND(AF39,0)*CX39,0)</f>
        <v>0</v>
      </c>
      <c r="DH39">
        <f>ROUND(ROUND(AG39,0)*CX39,0)</f>
        <v>0</v>
      </c>
      <c r="DI39">
        <f t="shared" si="10"/>
        <v>0</v>
      </c>
      <c r="DJ39">
        <f>DF39</f>
        <v>19</v>
      </c>
      <c r="DK39">
        <v>0</v>
      </c>
      <c r="DL39" t="s">
        <v>3</v>
      </c>
      <c r="DM39">
        <v>0</v>
      </c>
      <c r="DN39" t="s">
        <v>3</v>
      </c>
      <c r="DO39">
        <v>0</v>
      </c>
    </row>
    <row r="40" spans="1:119" x14ac:dyDescent="0.2">
      <c r="A40">
        <f>ROW(Source!A47)</f>
        <v>47</v>
      </c>
      <c r="B40">
        <v>53679809</v>
      </c>
      <c r="C40">
        <v>53680603</v>
      </c>
      <c r="D40">
        <v>51470446</v>
      </c>
      <c r="E40">
        <v>52</v>
      </c>
      <c r="F40">
        <v>1</v>
      </c>
      <c r="G40">
        <v>1</v>
      </c>
      <c r="H40">
        <v>3</v>
      </c>
      <c r="I40" t="s">
        <v>113</v>
      </c>
      <c r="J40" t="s">
        <v>3</v>
      </c>
      <c r="K40" t="s">
        <v>114</v>
      </c>
      <c r="L40">
        <v>1371</v>
      </c>
      <c r="N40">
        <v>1013</v>
      </c>
      <c r="O40" t="s">
        <v>32</v>
      </c>
      <c r="P40" t="s">
        <v>32</v>
      </c>
      <c r="Q40">
        <v>1</v>
      </c>
      <c r="W40">
        <v>0</v>
      </c>
      <c r="X40">
        <v>-568011005</v>
      </c>
      <c r="Y40">
        <f t="shared" si="0"/>
        <v>100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9.3000000000000007</v>
      </c>
      <c r="AJ40">
        <v>1</v>
      </c>
      <c r="AK40">
        <v>1</v>
      </c>
      <c r="AL40">
        <v>1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 t="s">
        <v>3</v>
      </c>
      <c r="AT40">
        <v>100</v>
      </c>
      <c r="AU40" t="s">
        <v>3</v>
      </c>
      <c r="AV40">
        <v>0</v>
      </c>
      <c r="AW40">
        <v>2</v>
      </c>
      <c r="AX40">
        <v>53680618</v>
      </c>
      <c r="AY40">
        <v>1</v>
      </c>
      <c r="AZ40">
        <v>0</v>
      </c>
      <c r="BA40">
        <v>43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ROUND(Y40*Source!I47,7)</f>
        <v>1</v>
      </c>
      <c r="CY40">
        <f>AA40</f>
        <v>0</v>
      </c>
      <c r="CZ40">
        <f>AE40</f>
        <v>0</v>
      </c>
      <c r="DA40">
        <f>AI40</f>
        <v>9.3000000000000007</v>
      </c>
      <c r="DB40">
        <f t="shared" si="1"/>
        <v>0</v>
      </c>
      <c r="DC40">
        <f t="shared" si="2"/>
        <v>0</v>
      </c>
      <c r="DD40" t="s">
        <v>3</v>
      </c>
      <c r="DE40" t="s">
        <v>3</v>
      </c>
      <c r="DF40">
        <f>ROUND(ROUND(AE40*AI40,0)*CX40,0)</f>
        <v>0</v>
      </c>
      <c r="DG40">
        <f>ROUND(ROUND(AF40,0)*CX40,0)</f>
        <v>0</v>
      </c>
      <c r="DH40">
        <f>ROUND(ROUND(AG40,0)*CX40,0)</f>
        <v>0</v>
      </c>
      <c r="DI40">
        <f t="shared" si="10"/>
        <v>0</v>
      </c>
      <c r="DJ40">
        <f>DF40</f>
        <v>0</v>
      </c>
      <c r="DK40">
        <v>0</v>
      </c>
      <c r="DL40" t="s">
        <v>3</v>
      </c>
      <c r="DM40">
        <v>0</v>
      </c>
      <c r="DN40" t="s">
        <v>3</v>
      </c>
      <c r="DO40">
        <v>0</v>
      </c>
    </row>
    <row r="41" spans="1:119" x14ac:dyDescent="0.2">
      <c r="A41">
        <f>ROW(Source!A47)</f>
        <v>47</v>
      </c>
      <c r="B41">
        <v>53679809</v>
      </c>
      <c r="C41">
        <v>53680603</v>
      </c>
      <c r="D41">
        <v>51504332</v>
      </c>
      <c r="E41">
        <v>1</v>
      </c>
      <c r="F41">
        <v>1</v>
      </c>
      <c r="G41">
        <v>1</v>
      </c>
      <c r="H41">
        <v>3</v>
      </c>
      <c r="I41" t="s">
        <v>319</v>
      </c>
      <c r="J41" t="s">
        <v>320</v>
      </c>
      <c r="K41" t="s">
        <v>321</v>
      </c>
      <c r="L41">
        <v>1301</v>
      </c>
      <c r="N41">
        <v>1003</v>
      </c>
      <c r="O41" t="s">
        <v>36</v>
      </c>
      <c r="P41" t="s">
        <v>36</v>
      </c>
      <c r="Q41">
        <v>1</v>
      </c>
      <c r="W41">
        <v>0</v>
      </c>
      <c r="X41">
        <v>1423188166</v>
      </c>
      <c r="Y41">
        <f t="shared" si="0"/>
        <v>400</v>
      </c>
      <c r="AA41">
        <v>29.76</v>
      </c>
      <c r="AB41">
        <v>0</v>
      </c>
      <c r="AC41">
        <v>0</v>
      </c>
      <c r="AD41">
        <v>0</v>
      </c>
      <c r="AE41">
        <v>3.2</v>
      </c>
      <c r="AF41">
        <v>0</v>
      </c>
      <c r="AG41">
        <v>0</v>
      </c>
      <c r="AH41">
        <v>0</v>
      </c>
      <c r="AI41">
        <v>9.3000000000000007</v>
      </c>
      <c r="AJ41">
        <v>1</v>
      </c>
      <c r="AK41">
        <v>1</v>
      </c>
      <c r="AL41">
        <v>1</v>
      </c>
      <c r="AM41">
        <v>4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400</v>
      </c>
      <c r="AU41" t="s">
        <v>3</v>
      </c>
      <c r="AV41">
        <v>0</v>
      </c>
      <c r="AW41">
        <v>2</v>
      </c>
      <c r="AX41">
        <v>53680619</v>
      </c>
      <c r="AY41">
        <v>1</v>
      </c>
      <c r="AZ41">
        <v>0</v>
      </c>
      <c r="BA41">
        <v>44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ROUND(Y41*Source!I47,7)</f>
        <v>4</v>
      </c>
      <c r="CY41">
        <f>AA41</f>
        <v>29.76</v>
      </c>
      <c r="CZ41">
        <f>AE41</f>
        <v>3.2</v>
      </c>
      <c r="DA41">
        <f>AI41</f>
        <v>9.3000000000000007</v>
      </c>
      <c r="DB41">
        <f t="shared" si="1"/>
        <v>1280</v>
      </c>
      <c r="DC41">
        <f t="shared" si="2"/>
        <v>0</v>
      </c>
      <c r="DD41" t="s">
        <v>3</v>
      </c>
      <c r="DE41" t="s">
        <v>3</v>
      </c>
      <c r="DF41">
        <f>ROUND(ROUND(AE41*AI41,0)*CX41,0)</f>
        <v>120</v>
      </c>
      <c r="DG41">
        <f>ROUND(ROUND(AF41,0)*CX41,0)</f>
        <v>0</v>
      </c>
      <c r="DH41">
        <f>ROUND(ROUND(AG41,0)*CX41,0)</f>
        <v>0</v>
      </c>
      <c r="DI41">
        <f t="shared" si="10"/>
        <v>0</v>
      </c>
      <c r="DJ41">
        <f>DF41</f>
        <v>120</v>
      </c>
      <c r="DK41">
        <v>0</v>
      </c>
      <c r="DL41" t="s">
        <v>3</v>
      </c>
      <c r="DM41">
        <v>0</v>
      </c>
      <c r="DN41" t="s">
        <v>3</v>
      </c>
      <c r="DO41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ROW(Source!A28)</f>
        <v>28</v>
      </c>
      <c r="B1">
        <v>53680581</v>
      </c>
      <c r="C1">
        <v>53680164</v>
      </c>
      <c r="D1">
        <v>51468204</v>
      </c>
      <c r="E1">
        <v>52</v>
      </c>
      <c r="F1">
        <v>1</v>
      </c>
      <c r="G1">
        <v>1</v>
      </c>
      <c r="H1">
        <v>1</v>
      </c>
      <c r="I1" t="s">
        <v>250</v>
      </c>
      <c r="J1" t="s">
        <v>3</v>
      </c>
      <c r="K1" t="s">
        <v>251</v>
      </c>
      <c r="L1">
        <v>1191</v>
      </c>
      <c r="N1">
        <v>1013</v>
      </c>
      <c r="O1" t="s">
        <v>252</v>
      </c>
      <c r="P1" t="s">
        <v>252</v>
      </c>
      <c r="Q1">
        <v>1</v>
      </c>
      <c r="X1">
        <v>35.64</v>
      </c>
      <c r="Y1">
        <v>0</v>
      </c>
      <c r="Z1">
        <v>0</v>
      </c>
      <c r="AA1">
        <v>0</v>
      </c>
      <c r="AB1">
        <v>8.5299999999999994</v>
      </c>
      <c r="AC1">
        <v>0</v>
      </c>
      <c r="AD1">
        <v>1</v>
      </c>
      <c r="AE1">
        <v>1</v>
      </c>
      <c r="AF1" t="s">
        <v>3</v>
      </c>
      <c r="AG1">
        <v>35.64</v>
      </c>
      <c r="AH1">
        <v>2</v>
      </c>
      <c r="AI1">
        <v>53680581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ROW(Source!A28)</f>
        <v>28</v>
      </c>
      <c r="B2">
        <v>53680582</v>
      </c>
      <c r="C2">
        <v>53680164</v>
      </c>
      <c r="D2">
        <v>51468391</v>
      </c>
      <c r="E2">
        <v>52</v>
      </c>
      <c r="F2">
        <v>1</v>
      </c>
      <c r="G2">
        <v>1</v>
      </c>
      <c r="H2">
        <v>1</v>
      </c>
      <c r="I2" t="s">
        <v>253</v>
      </c>
      <c r="J2" t="s">
        <v>3</v>
      </c>
      <c r="K2" t="s">
        <v>254</v>
      </c>
      <c r="L2">
        <v>1191</v>
      </c>
      <c r="N2">
        <v>1013</v>
      </c>
      <c r="O2" t="s">
        <v>252</v>
      </c>
      <c r="P2" t="s">
        <v>252</v>
      </c>
      <c r="Q2">
        <v>1</v>
      </c>
      <c r="X2">
        <v>22.48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</v>
      </c>
      <c r="AG2">
        <v>22.48</v>
      </c>
      <c r="AH2">
        <v>2</v>
      </c>
      <c r="AI2">
        <v>53680582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ROW(Source!A28)</f>
        <v>28</v>
      </c>
      <c r="B3">
        <v>53680583</v>
      </c>
      <c r="C3">
        <v>53680164</v>
      </c>
      <c r="D3">
        <v>51629077</v>
      </c>
      <c r="E3">
        <v>1</v>
      </c>
      <c r="F3">
        <v>1</v>
      </c>
      <c r="G3">
        <v>1</v>
      </c>
      <c r="H3">
        <v>2</v>
      </c>
      <c r="I3" t="s">
        <v>255</v>
      </c>
      <c r="J3" t="s">
        <v>256</v>
      </c>
      <c r="K3" t="s">
        <v>257</v>
      </c>
      <c r="L3">
        <v>1368</v>
      </c>
      <c r="N3">
        <v>1011</v>
      </c>
      <c r="O3" t="s">
        <v>258</v>
      </c>
      <c r="P3" t="s">
        <v>258</v>
      </c>
      <c r="Q3">
        <v>1</v>
      </c>
      <c r="X3">
        <v>10.93</v>
      </c>
      <c r="Y3">
        <v>0</v>
      </c>
      <c r="Z3">
        <v>138.54</v>
      </c>
      <c r="AA3">
        <v>11.6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10.93</v>
      </c>
      <c r="AH3">
        <v>2</v>
      </c>
      <c r="AI3">
        <v>53680583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ROW(Source!A28)</f>
        <v>28</v>
      </c>
      <c r="B4">
        <v>53680584</v>
      </c>
      <c r="C4">
        <v>53680164</v>
      </c>
      <c r="D4">
        <v>51630236</v>
      </c>
      <c r="E4">
        <v>1</v>
      </c>
      <c r="F4">
        <v>1</v>
      </c>
      <c r="G4">
        <v>1</v>
      </c>
      <c r="H4">
        <v>2</v>
      </c>
      <c r="I4" t="s">
        <v>259</v>
      </c>
      <c r="J4" t="s">
        <v>260</v>
      </c>
      <c r="K4" t="s">
        <v>261</v>
      </c>
      <c r="L4">
        <v>1368</v>
      </c>
      <c r="N4">
        <v>1011</v>
      </c>
      <c r="O4" t="s">
        <v>258</v>
      </c>
      <c r="P4" t="s">
        <v>258</v>
      </c>
      <c r="Q4">
        <v>1</v>
      </c>
      <c r="X4">
        <v>10.74</v>
      </c>
      <c r="Y4">
        <v>0</v>
      </c>
      <c r="Z4">
        <v>173.51</v>
      </c>
      <c r="AA4">
        <v>13.5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10.74</v>
      </c>
      <c r="AH4">
        <v>2</v>
      </c>
      <c r="AI4">
        <v>53680584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ROW(Source!A28)</f>
        <v>28</v>
      </c>
      <c r="B5">
        <v>53680585</v>
      </c>
      <c r="C5">
        <v>53680164</v>
      </c>
      <c r="D5">
        <v>51630243</v>
      </c>
      <c r="E5">
        <v>1</v>
      </c>
      <c r="F5">
        <v>1</v>
      </c>
      <c r="G5">
        <v>1</v>
      </c>
      <c r="H5">
        <v>2</v>
      </c>
      <c r="I5" t="s">
        <v>262</v>
      </c>
      <c r="J5" t="s">
        <v>263</v>
      </c>
      <c r="K5" t="s">
        <v>264</v>
      </c>
      <c r="L5">
        <v>1368</v>
      </c>
      <c r="N5">
        <v>1011</v>
      </c>
      <c r="O5" t="s">
        <v>258</v>
      </c>
      <c r="P5" t="s">
        <v>258</v>
      </c>
      <c r="Q5">
        <v>1</v>
      </c>
      <c r="X5">
        <v>0.81</v>
      </c>
      <c r="Y5">
        <v>0</v>
      </c>
      <c r="Z5">
        <v>65.709999999999994</v>
      </c>
      <c r="AA5">
        <v>11.6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0.81</v>
      </c>
      <c r="AH5">
        <v>2</v>
      </c>
      <c r="AI5">
        <v>53680585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ROW(Source!A28)</f>
        <v>28</v>
      </c>
      <c r="B6">
        <v>53680586</v>
      </c>
      <c r="C6">
        <v>53680164</v>
      </c>
      <c r="D6">
        <v>51469071</v>
      </c>
      <c r="E6">
        <v>52</v>
      </c>
      <c r="F6">
        <v>1</v>
      </c>
      <c r="G6">
        <v>1</v>
      </c>
      <c r="H6">
        <v>3</v>
      </c>
      <c r="I6" t="s">
        <v>26</v>
      </c>
      <c r="J6" t="s">
        <v>3</v>
      </c>
      <c r="K6" t="s">
        <v>27</v>
      </c>
      <c r="L6">
        <v>1339</v>
      </c>
      <c r="N6">
        <v>1007</v>
      </c>
      <c r="O6" t="s">
        <v>28</v>
      </c>
      <c r="P6" t="s">
        <v>28</v>
      </c>
      <c r="Q6">
        <v>1</v>
      </c>
      <c r="X6">
        <v>6.34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 t="s">
        <v>3</v>
      </c>
      <c r="AG6">
        <v>6.34</v>
      </c>
      <c r="AH6">
        <v>2</v>
      </c>
      <c r="AI6">
        <v>53680586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ROW(Source!A28)</f>
        <v>28</v>
      </c>
      <c r="B7">
        <v>53680587</v>
      </c>
      <c r="C7">
        <v>53680164</v>
      </c>
      <c r="D7">
        <v>51469906</v>
      </c>
      <c r="E7">
        <v>52</v>
      </c>
      <c r="F7">
        <v>1</v>
      </c>
      <c r="G7">
        <v>1</v>
      </c>
      <c r="H7">
        <v>3</v>
      </c>
      <c r="I7" t="s">
        <v>30</v>
      </c>
      <c r="J7" t="s">
        <v>3</v>
      </c>
      <c r="K7" t="s">
        <v>31</v>
      </c>
      <c r="L7">
        <v>1371</v>
      </c>
      <c r="N7">
        <v>1013</v>
      </c>
      <c r="O7" t="s">
        <v>32</v>
      </c>
      <c r="P7" t="s">
        <v>32</v>
      </c>
      <c r="Q7">
        <v>1</v>
      </c>
      <c r="X7">
        <v>100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 t="s">
        <v>3</v>
      </c>
      <c r="AG7">
        <v>100</v>
      </c>
      <c r="AH7">
        <v>2</v>
      </c>
      <c r="AI7">
        <v>53680587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ROW(Source!A28)</f>
        <v>28</v>
      </c>
      <c r="B8">
        <v>53680588</v>
      </c>
      <c r="C8">
        <v>53680164</v>
      </c>
      <c r="D8">
        <v>51503352</v>
      </c>
      <c r="E8">
        <v>1</v>
      </c>
      <c r="F8">
        <v>1</v>
      </c>
      <c r="G8">
        <v>1</v>
      </c>
      <c r="H8">
        <v>3</v>
      </c>
      <c r="I8" t="s">
        <v>265</v>
      </c>
      <c r="J8" t="s">
        <v>266</v>
      </c>
      <c r="K8" t="s">
        <v>267</v>
      </c>
      <c r="L8">
        <v>1339</v>
      </c>
      <c r="N8">
        <v>1007</v>
      </c>
      <c r="O8" t="s">
        <v>28</v>
      </c>
      <c r="P8" t="s">
        <v>28</v>
      </c>
      <c r="Q8">
        <v>1</v>
      </c>
      <c r="X8">
        <v>0.13975000000000001</v>
      </c>
      <c r="Y8">
        <v>1668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0.13975000000000001</v>
      </c>
      <c r="AH8">
        <v>2</v>
      </c>
      <c r="AI8">
        <v>53680588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ROW(Source!A33)</f>
        <v>33</v>
      </c>
      <c r="B9">
        <v>53680189</v>
      </c>
      <c r="C9">
        <v>53680181</v>
      </c>
      <c r="D9">
        <v>51468218</v>
      </c>
      <c r="E9">
        <v>52</v>
      </c>
      <c r="F9">
        <v>1</v>
      </c>
      <c r="G9">
        <v>1</v>
      </c>
      <c r="H9">
        <v>1</v>
      </c>
      <c r="I9" t="s">
        <v>268</v>
      </c>
      <c r="J9" t="s">
        <v>3</v>
      </c>
      <c r="K9" t="s">
        <v>269</v>
      </c>
      <c r="L9">
        <v>1191</v>
      </c>
      <c r="N9">
        <v>1013</v>
      </c>
      <c r="O9" t="s">
        <v>252</v>
      </c>
      <c r="P9" t="s">
        <v>252</v>
      </c>
      <c r="Q9">
        <v>1</v>
      </c>
      <c r="X9">
        <v>138</v>
      </c>
      <c r="Y9">
        <v>0</v>
      </c>
      <c r="Z9">
        <v>0</v>
      </c>
      <c r="AA9">
        <v>0</v>
      </c>
      <c r="AB9">
        <v>8.9700000000000006</v>
      </c>
      <c r="AC9">
        <v>0</v>
      </c>
      <c r="AD9">
        <v>1</v>
      </c>
      <c r="AE9">
        <v>1</v>
      </c>
      <c r="AF9" t="s">
        <v>3</v>
      </c>
      <c r="AG9">
        <v>138</v>
      </c>
      <c r="AH9">
        <v>2</v>
      </c>
      <c r="AI9">
        <v>53680182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ROW(Source!A33)</f>
        <v>33</v>
      </c>
      <c r="B10">
        <v>53680190</v>
      </c>
      <c r="C10">
        <v>53680181</v>
      </c>
      <c r="D10">
        <v>51468391</v>
      </c>
      <c r="E10">
        <v>52</v>
      </c>
      <c r="F10">
        <v>1</v>
      </c>
      <c r="G10">
        <v>1</v>
      </c>
      <c r="H10">
        <v>1</v>
      </c>
      <c r="I10" t="s">
        <v>253</v>
      </c>
      <c r="J10" t="s">
        <v>3</v>
      </c>
      <c r="K10" t="s">
        <v>254</v>
      </c>
      <c r="L10">
        <v>1191</v>
      </c>
      <c r="N10">
        <v>1013</v>
      </c>
      <c r="O10" t="s">
        <v>252</v>
      </c>
      <c r="P10" t="s">
        <v>252</v>
      </c>
      <c r="Q10">
        <v>1</v>
      </c>
      <c r="X10">
        <v>5.19</v>
      </c>
      <c r="Y10">
        <v>0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2</v>
      </c>
      <c r="AF10" t="s">
        <v>3</v>
      </c>
      <c r="AG10">
        <v>5.19</v>
      </c>
      <c r="AH10">
        <v>2</v>
      </c>
      <c r="AI10">
        <v>53680183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ROW(Source!A33)</f>
        <v>33</v>
      </c>
      <c r="B11">
        <v>53680191</v>
      </c>
      <c r="C11">
        <v>53680181</v>
      </c>
      <c r="D11">
        <v>51629223</v>
      </c>
      <c r="E11">
        <v>1</v>
      </c>
      <c r="F11">
        <v>1</v>
      </c>
      <c r="G11">
        <v>1</v>
      </c>
      <c r="H11">
        <v>2</v>
      </c>
      <c r="I11" t="s">
        <v>270</v>
      </c>
      <c r="J11" t="s">
        <v>271</v>
      </c>
      <c r="K11" t="s">
        <v>272</v>
      </c>
      <c r="L11">
        <v>1368</v>
      </c>
      <c r="N11">
        <v>1011</v>
      </c>
      <c r="O11" t="s">
        <v>258</v>
      </c>
      <c r="P11" t="s">
        <v>258</v>
      </c>
      <c r="Q11">
        <v>1</v>
      </c>
      <c r="X11">
        <v>4.3600000000000003</v>
      </c>
      <c r="Y11">
        <v>0</v>
      </c>
      <c r="Z11">
        <v>115.4</v>
      </c>
      <c r="AA11">
        <v>13.5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4.3600000000000003</v>
      </c>
      <c r="AH11">
        <v>2</v>
      </c>
      <c r="AI11">
        <v>53680184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ROW(Source!A33)</f>
        <v>33</v>
      </c>
      <c r="B12">
        <v>53680192</v>
      </c>
      <c r="C12">
        <v>53680181</v>
      </c>
      <c r="D12">
        <v>51630243</v>
      </c>
      <c r="E12">
        <v>1</v>
      </c>
      <c r="F12">
        <v>1</v>
      </c>
      <c r="G12">
        <v>1</v>
      </c>
      <c r="H12">
        <v>2</v>
      </c>
      <c r="I12" t="s">
        <v>262</v>
      </c>
      <c r="J12" t="s">
        <v>263</v>
      </c>
      <c r="K12" t="s">
        <v>264</v>
      </c>
      <c r="L12">
        <v>1368</v>
      </c>
      <c r="N12">
        <v>1011</v>
      </c>
      <c r="O12" t="s">
        <v>258</v>
      </c>
      <c r="P12" t="s">
        <v>258</v>
      </c>
      <c r="Q12">
        <v>1</v>
      </c>
      <c r="X12">
        <v>0.83</v>
      </c>
      <c r="Y12">
        <v>0</v>
      </c>
      <c r="Z12">
        <v>65.709999999999994</v>
      </c>
      <c r="AA12">
        <v>11.6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0.83</v>
      </c>
      <c r="AH12">
        <v>2</v>
      </c>
      <c r="AI12">
        <v>53680185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ROW(Source!A33)</f>
        <v>33</v>
      </c>
      <c r="B13">
        <v>53680193</v>
      </c>
      <c r="C13">
        <v>53680181</v>
      </c>
      <c r="D13">
        <v>51481561</v>
      </c>
      <c r="E13">
        <v>1</v>
      </c>
      <c r="F13">
        <v>1</v>
      </c>
      <c r="G13">
        <v>1</v>
      </c>
      <c r="H13">
        <v>3</v>
      </c>
      <c r="I13" t="s">
        <v>273</v>
      </c>
      <c r="J13" t="s">
        <v>274</v>
      </c>
      <c r="K13" t="s">
        <v>275</v>
      </c>
      <c r="L13">
        <v>1346</v>
      </c>
      <c r="N13">
        <v>1009</v>
      </c>
      <c r="O13" t="s">
        <v>276</v>
      </c>
      <c r="P13" t="s">
        <v>276</v>
      </c>
      <c r="Q13">
        <v>1</v>
      </c>
      <c r="X13">
        <v>7.3</v>
      </c>
      <c r="Y13">
        <v>9.0399999999999991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7.3</v>
      </c>
      <c r="AH13">
        <v>2</v>
      </c>
      <c r="AI13">
        <v>53680186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ROW(Source!A33)</f>
        <v>33</v>
      </c>
      <c r="B14">
        <v>53680194</v>
      </c>
      <c r="C14">
        <v>53680181</v>
      </c>
      <c r="D14">
        <v>51481661</v>
      </c>
      <c r="E14">
        <v>1</v>
      </c>
      <c r="F14">
        <v>1</v>
      </c>
      <c r="G14">
        <v>1</v>
      </c>
      <c r="H14">
        <v>3</v>
      </c>
      <c r="I14" t="s">
        <v>277</v>
      </c>
      <c r="J14" t="s">
        <v>278</v>
      </c>
      <c r="K14" t="s">
        <v>279</v>
      </c>
      <c r="L14">
        <v>1348</v>
      </c>
      <c r="N14">
        <v>1009</v>
      </c>
      <c r="O14" t="s">
        <v>69</v>
      </c>
      <c r="P14" t="s">
        <v>69</v>
      </c>
      <c r="Q14">
        <v>1000</v>
      </c>
      <c r="X14">
        <v>9.2999999999999992E-3</v>
      </c>
      <c r="Y14">
        <v>11978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9.2999999999999992E-3</v>
      </c>
      <c r="AH14">
        <v>2</v>
      </c>
      <c r="AI14">
        <v>53680187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ROW(Source!A33)</f>
        <v>33</v>
      </c>
      <c r="B15">
        <v>53680195</v>
      </c>
      <c r="C15">
        <v>53680181</v>
      </c>
      <c r="D15">
        <v>51503397</v>
      </c>
      <c r="E15">
        <v>1</v>
      </c>
      <c r="F15">
        <v>1</v>
      </c>
      <c r="G15">
        <v>1</v>
      </c>
      <c r="H15">
        <v>3</v>
      </c>
      <c r="I15" t="s">
        <v>55</v>
      </c>
      <c r="J15" t="s">
        <v>57</v>
      </c>
      <c r="K15" t="s">
        <v>56</v>
      </c>
      <c r="L15">
        <v>1339</v>
      </c>
      <c r="N15">
        <v>1007</v>
      </c>
      <c r="O15" t="s">
        <v>28</v>
      </c>
      <c r="P15" t="s">
        <v>28</v>
      </c>
      <c r="Q15">
        <v>1</v>
      </c>
      <c r="X15">
        <v>1.01</v>
      </c>
      <c r="Y15">
        <v>1601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1.01</v>
      </c>
      <c r="AH15">
        <v>3</v>
      </c>
      <c r="AI15">
        <v>-1</v>
      </c>
      <c r="AJ15" t="s">
        <v>3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ROW(Source!A33)</f>
        <v>33</v>
      </c>
      <c r="B16">
        <v>53680196</v>
      </c>
      <c r="C16">
        <v>53680181</v>
      </c>
      <c r="D16">
        <v>51503582</v>
      </c>
      <c r="E16">
        <v>1</v>
      </c>
      <c r="F16">
        <v>1</v>
      </c>
      <c r="G16">
        <v>1</v>
      </c>
      <c r="H16">
        <v>3</v>
      </c>
      <c r="I16" t="s">
        <v>59</v>
      </c>
      <c r="J16" t="s">
        <v>61</v>
      </c>
      <c r="K16" t="s">
        <v>60</v>
      </c>
      <c r="L16">
        <v>1339</v>
      </c>
      <c r="N16">
        <v>1007</v>
      </c>
      <c r="O16" t="s">
        <v>28</v>
      </c>
      <c r="P16" t="s">
        <v>28</v>
      </c>
      <c r="Q16">
        <v>1</v>
      </c>
      <c r="X16">
        <v>0.8</v>
      </c>
      <c r="Y16">
        <v>1155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0.8</v>
      </c>
      <c r="AH16">
        <v>3</v>
      </c>
      <c r="AI16">
        <v>-1</v>
      </c>
      <c r="AJ16" t="s">
        <v>3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ROW(Source!A33)</f>
        <v>33</v>
      </c>
      <c r="B17">
        <v>53680197</v>
      </c>
      <c r="C17">
        <v>53680181</v>
      </c>
      <c r="D17">
        <v>51503590</v>
      </c>
      <c r="E17">
        <v>1</v>
      </c>
      <c r="F17">
        <v>1</v>
      </c>
      <c r="G17">
        <v>1</v>
      </c>
      <c r="H17">
        <v>3</v>
      </c>
      <c r="I17" t="s">
        <v>63</v>
      </c>
      <c r="J17" t="s">
        <v>65</v>
      </c>
      <c r="K17" t="s">
        <v>64</v>
      </c>
      <c r="L17">
        <v>1339</v>
      </c>
      <c r="N17">
        <v>1007</v>
      </c>
      <c r="O17" t="s">
        <v>28</v>
      </c>
      <c r="P17" t="s">
        <v>28</v>
      </c>
      <c r="Q17">
        <v>1</v>
      </c>
      <c r="X17">
        <v>2.59</v>
      </c>
      <c r="Y17">
        <v>1242.2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2.59</v>
      </c>
      <c r="AH17">
        <v>3</v>
      </c>
      <c r="AI17">
        <v>-1</v>
      </c>
      <c r="AJ17" t="s">
        <v>3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ROW(Source!A33)</f>
        <v>33</v>
      </c>
      <c r="B18">
        <v>53680198</v>
      </c>
      <c r="C18">
        <v>53680181</v>
      </c>
      <c r="D18">
        <v>51512334</v>
      </c>
      <c r="E18">
        <v>1</v>
      </c>
      <c r="F18">
        <v>1</v>
      </c>
      <c r="G18">
        <v>1</v>
      </c>
      <c r="H18">
        <v>3</v>
      </c>
      <c r="I18" t="s">
        <v>280</v>
      </c>
      <c r="J18" t="s">
        <v>281</v>
      </c>
      <c r="K18" t="s">
        <v>282</v>
      </c>
      <c r="L18">
        <v>1348</v>
      </c>
      <c r="N18">
        <v>1009</v>
      </c>
      <c r="O18" t="s">
        <v>69</v>
      </c>
      <c r="P18" t="s">
        <v>69</v>
      </c>
      <c r="Q18">
        <v>1000</v>
      </c>
      <c r="X18">
        <v>7.0000000000000001E-3</v>
      </c>
      <c r="Y18">
        <v>15255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7.0000000000000001E-3</v>
      </c>
      <c r="AH18">
        <v>2</v>
      </c>
      <c r="AI18">
        <v>53680188</v>
      </c>
      <c r="AJ18">
        <v>15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ROW(Source!A39)</f>
        <v>39</v>
      </c>
      <c r="B19">
        <v>53680212</v>
      </c>
      <c r="C19">
        <v>53680203</v>
      </c>
      <c r="D19">
        <v>51468238</v>
      </c>
      <c r="E19">
        <v>52</v>
      </c>
      <c r="F19">
        <v>1</v>
      </c>
      <c r="G19">
        <v>1</v>
      </c>
      <c r="H19">
        <v>1</v>
      </c>
      <c r="I19" t="s">
        <v>283</v>
      </c>
      <c r="J19" t="s">
        <v>3</v>
      </c>
      <c r="K19" t="s">
        <v>284</v>
      </c>
      <c r="L19">
        <v>1191</v>
      </c>
      <c r="N19">
        <v>1013</v>
      </c>
      <c r="O19" t="s">
        <v>252</v>
      </c>
      <c r="P19" t="s">
        <v>252</v>
      </c>
      <c r="Q19">
        <v>1</v>
      </c>
      <c r="X19">
        <v>111.44</v>
      </c>
      <c r="Y19">
        <v>0</v>
      </c>
      <c r="Z19">
        <v>0</v>
      </c>
      <c r="AA19">
        <v>0</v>
      </c>
      <c r="AB19">
        <v>9.4</v>
      </c>
      <c r="AC19">
        <v>0</v>
      </c>
      <c r="AD19">
        <v>1</v>
      </c>
      <c r="AE19">
        <v>1</v>
      </c>
      <c r="AF19" t="s">
        <v>3</v>
      </c>
      <c r="AG19">
        <v>111.44</v>
      </c>
      <c r="AH19">
        <v>2</v>
      </c>
      <c r="AI19">
        <v>53680204</v>
      </c>
      <c r="AJ19">
        <v>16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ROW(Source!A39)</f>
        <v>39</v>
      </c>
      <c r="B20">
        <v>53680213</v>
      </c>
      <c r="C20">
        <v>53680203</v>
      </c>
      <c r="D20">
        <v>51468391</v>
      </c>
      <c r="E20">
        <v>52</v>
      </c>
      <c r="F20">
        <v>1</v>
      </c>
      <c r="G20">
        <v>1</v>
      </c>
      <c r="H20">
        <v>1</v>
      </c>
      <c r="I20" t="s">
        <v>253</v>
      </c>
      <c r="J20" t="s">
        <v>3</v>
      </c>
      <c r="K20" t="s">
        <v>254</v>
      </c>
      <c r="L20">
        <v>1191</v>
      </c>
      <c r="N20">
        <v>1013</v>
      </c>
      <c r="O20" t="s">
        <v>252</v>
      </c>
      <c r="P20" t="s">
        <v>252</v>
      </c>
      <c r="Q20">
        <v>1</v>
      </c>
      <c r="X20">
        <v>21.85</v>
      </c>
      <c r="Y20">
        <v>0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2</v>
      </c>
      <c r="AF20" t="s">
        <v>3</v>
      </c>
      <c r="AG20">
        <v>21.85</v>
      </c>
      <c r="AH20">
        <v>2</v>
      </c>
      <c r="AI20">
        <v>53680205</v>
      </c>
      <c r="AJ20">
        <v>17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ROW(Source!A39)</f>
        <v>39</v>
      </c>
      <c r="B21">
        <v>53680214</v>
      </c>
      <c r="C21">
        <v>53680203</v>
      </c>
      <c r="D21">
        <v>51629224</v>
      </c>
      <c r="E21">
        <v>1</v>
      </c>
      <c r="F21">
        <v>1</v>
      </c>
      <c r="G21">
        <v>1</v>
      </c>
      <c r="H21">
        <v>2</v>
      </c>
      <c r="I21" t="s">
        <v>285</v>
      </c>
      <c r="J21" t="s">
        <v>286</v>
      </c>
      <c r="K21" t="s">
        <v>287</v>
      </c>
      <c r="L21">
        <v>1368</v>
      </c>
      <c r="N21">
        <v>1011</v>
      </c>
      <c r="O21" t="s">
        <v>258</v>
      </c>
      <c r="P21" t="s">
        <v>258</v>
      </c>
      <c r="Q21">
        <v>1</v>
      </c>
      <c r="X21">
        <v>21.85</v>
      </c>
      <c r="Y21">
        <v>0</v>
      </c>
      <c r="Z21">
        <v>476.43</v>
      </c>
      <c r="AA21">
        <v>17.84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21.85</v>
      </c>
      <c r="AH21">
        <v>2</v>
      </c>
      <c r="AI21">
        <v>53680206</v>
      </c>
      <c r="AJ21">
        <v>18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ROW(Source!A39)</f>
        <v>39</v>
      </c>
      <c r="B22">
        <v>53680215</v>
      </c>
      <c r="C22">
        <v>53680203</v>
      </c>
      <c r="D22">
        <v>51630466</v>
      </c>
      <c r="E22">
        <v>1</v>
      </c>
      <c r="F22">
        <v>1</v>
      </c>
      <c r="G22">
        <v>1</v>
      </c>
      <c r="H22">
        <v>2</v>
      </c>
      <c r="I22" t="s">
        <v>288</v>
      </c>
      <c r="J22" t="s">
        <v>289</v>
      </c>
      <c r="K22" t="s">
        <v>290</v>
      </c>
      <c r="L22">
        <v>1368</v>
      </c>
      <c r="N22">
        <v>1011</v>
      </c>
      <c r="O22" t="s">
        <v>258</v>
      </c>
      <c r="P22" t="s">
        <v>258</v>
      </c>
      <c r="Q22">
        <v>1</v>
      </c>
      <c r="X22">
        <v>4.87</v>
      </c>
      <c r="Y22">
        <v>0</v>
      </c>
      <c r="Z22">
        <v>8.1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4.87</v>
      </c>
      <c r="AH22">
        <v>2</v>
      </c>
      <c r="AI22">
        <v>53680207</v>
      </c>
      <c r="AJ22">
        <v>19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ROW(Source!A39)</f>
        <v>39</v>
      </c>
      <c r="B23">
        <v>53680216</v>
      </c>
      <c r="C23">
        <v>53680203</v>
      </c>
      <c r="D23">
        <v>51480490</v>
      </c>
      <c r="E23">
        <v>1</v>
      </c>
      <c r="F23">
        <v>1</v>
      </c>
      <c r="G23">
        <v>1</v>
      </c>
      <c r="H23">
        <v>3</v>
      </c>
      <c r="I23" t="s">
        <v>291</v>
      </c>
      <c r="J23" t="s">
        <v>292</v>
      </c>
      <c r="K23" t="s">
        <v>293</v>
      </c>
      <c r="L23">
        <v>1348</v>
      </c>
      <c r="N23">
        <v>1009</v>
      </c>
      <c r="O23" t="s">
        <v>69</v>
      </c>
      <c r="P23" t="s">
        <v>69</v>
      </c>
      <c r="Q23">
        <v>1000</v>
      </c>
      <c r="X23">
        <v>5.8E-4</v>
      </c>
      <c r="Y23">
        <v>14074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5.8E-4</v>
      </c>
      <c r="AH23">
        <v>2</v>
      </c>
      <c r="AI23">
        <v>53680208</v>
      </c>
      <c r="AJ23">
        <v>20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ROW(Source!A39)</f>
        <v>39</v>
      </c>
      <c r="B24">
        <v>53680217</v>
      </c>
      <c r="C24">
        <v>53680203</v>
      </c>
      <c r="D24">
        <v>51481511</v>
      </c>
      <c r="E24">
        <v>1</v>
      </c>
      <c r="F24">
        <v>1</v>
      </c>
      <c r="G24">
        <v>1</v>
      </c>
      <c r="H24">
        <v>3</v>
      </c>
      <c r="I24" t="s">
        <v>294</v>
      </c>
      <c r="J24" t="s">
        <v>295</v>
      </c>
      <c r="K24" t="s">
        <v>296</v>
      </c>
      <c r="L24">
        <v>1425</v>
      </c>
      <c r="N24">
        <v>1013</v>
      </c>
      <c r="O24" t="s">
        <v>18</v>
      </c>
      <c r="P24" t="s">
        <v>18</v>
      </c>
      <c r="Q24">
        <v>1</v>
      </c>
      <c r="X24">
        <v>1.1527000000000001E-2</v>
      </c>
      <c r="Y24">
        <v>643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1.1527000000000001E-2</v>
      </c>
      <c r="AH24">
        <v>2</v>
      </c>
      <c r="AI24">
        <v>53680209</v>
      </c>
      <c r="AJ24">
        <v>21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ROW(Source!A39)</f>
        <v>39</v>
      </c>
      <c r="B25">
        <v>53680218</v>
      </c>
      <c r="C25">
        <v>53680203</v>
      </c>
      <c r="D25">
        <v>51481551</v>
      </c>
      <c r="E25">
        <v>1</v>
      </c>
      <c r="F25">
        <v>1</v>
      </c>
      <c r="G25">
        <v>1</v>
      </c>
      <c r="H25">
        <v>3</v>
      </c>
      <c r="I25" t="s">
        <v>297</v>
      </c>
      <c r="J25" t="s">
        <v>298</v>
      </c>
      <c r="K25" t="s">
        <v>299</v>
      </c>
      <c r="L25">
        <v>1348</v>
      </c>
      <c r="N25">
        <v>1009</v>
      </c>
      <c r="O25" t="s">
        <v>69</v>
      </c>
      <c r="P25" t="s">
        <v>69</v>
      </c>
      <c r="Q25">
        <v>1000</v>
      </c>
      <c r="X25">
        <v>2.0200000000000001E-3</v>
      </c>
      <c r="Y25">
        <v>18796.650000000001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2.0200000000000001E-3</v>
      </c>
      <c r="AH25">
        <v>2</v>
      </c>
      <c r="AI25">
        <v>53680210</v>
      </c>
      <c r="AJ25">
        <v>22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ROW(Source!A39)</f>
        <v>39</v>
      </c>
      <c r="B26">
        <v>53680219</v>
      </c>
      <c r="C26">
        <v>53680203</v>
      </c>
      <c r="D26">
        <v>51469921</v>
      </c>
      <c r="E26">
        <v>52</v>
      </c>
      <c r="F26">
        <v>1</v>
      </c>
      <c r="G26">
        <v>1</v>
      </c>
      <c r="H26">
        <v>3</v>
      </c>
      <c r="I26" t="s">
        <v>82</v>
      </c>
      <c r="J26" t="s">
        <v>3</v>
      </c>
      <c r="K26" t="s">
        <v>83</v>
      </c>
      <c r="L26">
        <v>1348</v>
      </c>
      <c r="N26">
        <v>1009</v>
      </c>
      <c r="O26" t="s">
        <v>69</v>
      </c>
      <c r="P26" t="s">
        <v>69</v>
      </c>
      <c r="Q26">
        <v>1000</v>
      </c>
      <c r="X26">
        <v>0</v>
      </c>
      <c r="Y26">
        <v>0</v>
      </c>
      <c r="Z26">
        <v>0</v>
      </c>
      <c r="AA26">
        <v>0</v>
      </c>
      <c r="AB26">
        <v>0</v>
      </c>
      <c r="AC26">
        <v>1</v>
      </c>
      <c r="AD26">
        <v>0</v>
      </c>
      <c r="AE26">
        <v>0</v>
      </c>
      <c r="AF26" t="s">
        <v>3</v>
      </c>
      <c r="AG26">
        <v>0</v>
      </c>
      <c r="AH26">
        <v>2</v>
      </c>
      <c r="AI26">
        <v>53680211</v>
      </c>
      <c r="AJ26">
        <v>23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ROW(Source!A42)</f>
        <v>42</v>
      </c>
      <c r="B27">
        <v>53680246</v>
      </c>
      <c r="C27">
        <v>53680235</v>
      </c>
      <c r="D27">
        <v>51468208</v>
      </c>
      <c r="E27">
        <v>52</v>
      </c>
      <c r="F27">
        <v>1</v>
      </c>
      <c r="G27">
        <v>1</v>
      </c>
      <c r="H27">
        <v>1</v>
      </c>
      <c r="I27" t="s">
        <v>300</v>
      </c>
      <c r="J27" t="s">
        <v>3</v>
      </c>
      <c r="K27" t="s">
        <v>301</v>
      </c>
      <c r="L27">
        <v>1191</v>
      </c>
      <c r="N27">
        <v>1013</v>
      </c>
      <c r="O27" t="s">
        <v>252</v>
      </c>
      <c r="P27" t="s">
        <v>252</v>
      </c>
      <c r="Q27">
        <v>1</v>
      </c>
      <c r="X27">
        <v>32.4</v>
      </c>
      <c r="Y27">
        <v>0</v>
      </c>
      <c r="Z27">
        <v>0</v>
      </c>
      <c r="AA27">
        <v>0</v>
      </c>
      <c r="AB27">
        <v>8.74</v>
      </c>
      <c r="AC27">
        <v>0</v>
      </c>
      <c r="AD27">
        <v>1</v>
      </c>
      <c r="AE27">
        <v>1</v>
      </c>
      <c r="AF27" t="s">
        <v>3</v>
      </c>
      <c r="AG27">
        <v>32.4</v>
      </c>
      <c r="AH27">
        <v>2</v>
      </c>
      <c r="AI27">
        <v>53680236</v>
      </c>
      <c r="AJ27">
        <v>24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ROW(Source!A42)</f>
        <v>42</v>
      </c>
      <c r="B28">
        <v>53680247</v>
      </c>
      <c r="C28">
        <v>53680235</v>
      </c>
      <c r="D28">
        <v>51468391</v>
      </c>
      <c r="E28">
        <v>52</v>
      </c>
      <c r="F28">
        <v>1</v>
      </c>
      <c r="G28">
        <v>1</v>
      </c>
      <c r="H28">
        <v>1</v>
      </c>
      <c r="I28" t="s">
        <v>253</v>
      </c>
      <c r="J28" t="s">
        <v>3</v>
      </c>
      <c r="K28" t="s">
        <v>254</v>
      </c>
      <c r="L28">
        <v>1191</v>
      </c>
      <c r="N28">
        <v>1013</v>
      </c>
      <c r="O28" t="s">
        <v>252</v>
      </c>
      <c r="P28" t="s">
        <v>252</v>
      </c>
      <c r="Q28">
        <v>1</v>
      </c>
      <c r="X28">
        <v>0.32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2</v>
      </c>
      <c r="AF28" t="s">
        <v>3</v>
      </c>
      <c r="AG28">
        <v>0.32</v>
      </c>
      <c r="AH28">
        <v>2</v>
      </c>
      <c r="AI28">
        <v>53680237</v>
      </c>
      <c r="AJ28">
        <v>25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ROW(Source!A42)</f>
        <v>42</v>
      </c>
      <c r="B29">
        <v>53680248</v>
      </c>
      <c r="C29">
        <v>53680235</v>
      </c>
      <c r="D29">
        <v>51629163</v>
      </c>
      <c r="E29">
        <v>1</v>
      </c>
      <c r="F29">
        <v>1</v>
      </c>
      <c r="G29">
        <v>1</v>
      </c>
      <c r="H29">
        <v>2</v>
      </c>
      <c r="I29" t="s">
        <v>302</v>
      </c>
      <c r="J29" t="s">
        <v>303</v>
      </c>
      <c r="K29" t="s">
        <v>304</v>
      </c>
      <c r="L29">
        <v>1368</v>
      </c>
      <c r="N29">
        <v>1011</v>
      </c>
      <c r="O29" t="s">
        <v>258</v>
      </c>
      <c r="P29" t="s">
        <v>258</v>
      </c>
      <c r="Q29">
        <v>1</v>
      </c>
      <c r="X29">
        <v>0.05</v>
      </c>
      <c r="Y29">
        <v>0</v>
      </c>
      <c r="Z29">
        <v>86.4</v>
      </c>
      <c r="AA29">
        <v>13.5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0.05</v>
      </c>
      <c r="AH29">
        <v>2</v>
      </c>
      <c r="AI29">
        <v>53680238</v>
      </c>
      <c r="AJ29">
        <v>26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ROW(Source!A42)</f>
        <v>42</v>
      </c>
      <c r="B30">
        <v>53680249</v>
      </c>
      <c r="C30">
        <v>53680235</v>
      </c>
      <c r="D30">
        <v>51629223</v>
      </c>
      <c r="E30">
        <v>1</v>
      </c>
      <c r="F30">
        <v>1</v>
      </c>
      <c r="G30">
        <v>1</v>
      </c>
      <c r="H30">
        <v>2</v>
      </c>
      <c r="I30" t="s">
        <v>270</v>
      </c>
      <c r="J30" t="s">
        <v>271</v>
      </c>
      <c r="K30" t="s">
        <v>272</v>
      </c>
      <c r="L30">
        <v>1368</v>
      </c>
      <c r="N30">
        <v>1011</v>
      </c>
      <c r="O30" t="s">
        <v>258</v>
      </c>
      <c r="P30" t="s">
        <v>258</v>
      </c>
      <c r="Q30">
        <v>1</v>
      </c>
      <c r="X30">
        <v>0.12</v>
      </c>
      <c r="Y30">
        <v>0</v>
      </c>
      <c r="Z30">
        <v>115.4</v>
      </c>
      <c r="AA30">
        <v>13.5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0.12</v>
      </c>
      <c r="AH30">
        <v>2</v>
      </c>
      <c r="AI30">
        <v>53680239</v>
      </c>
      <c r="AJ30">
        <v>27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ROW(Source!A42)</f>
        <v>42</v>
      </c>
      <c r="B31">
        <v>53680250</v>
      </c>
      <c r="C31">
        <v>53680235</v>
      </c>
      <c r="D31">
        <v>51630243</v>
      </c>
      <c r="E31">
        <v>1</v>
      </c>
      <c r="F31">
        <v>1</v>
      </c>
      <c r="G31">
        <v>1</v>
      </c>
      <c r="H31">
        <v>2</v>
      </c>
      <c r="I31" t="s">
        <v>262</v>
      </c>
      <c r="J31" t="s">
        <v>263</v>
      </c>
      <c r="K31" t="s">
        <v>264</v>
      </c>
      <c r="L31">
        <v>1368</v>
      </c>
      <c r="N31">
        <v>1011</v>
      </c>
      <c r="O31" t="s">
        <v>258</v>
      </c>
      <c r="P31" t="s">
        <v>258</v>
      </c>
      <c r="Q31">
        <v>1</v>
      </c>
      <c r="X31">
        <v>0.15</v>
      </c>
      <c r="Y31">
        <v>0</v>
      </c>
      <c r="Z31">
        <v>65.709999999999994</v>
      </c>
      <c r="AA31">
        <v>11.6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0.15</v>
      </c>
      <c r="AH31">
        <v>2</v>
      </c>
      <c r="AI31">
        <v>53680240</v>
      </c>
      <c r="AJ31">
        <v>28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ROW(Source!A42)</f>
        <v>42</v>
      </c>
      <c r="B32">
        <v>53680251</v>
      </c>
      <c r="C32">
        <v>53680235</v>
      </c>
      <c r="D32">
        <v>51483032</v>
      </c>
      <c r="E32">
        <v>1</v>
      </c>
      <c r="F32">
        <v>1</v>
      </c>
      <c r="G32">
        <v>1</v>
      </c>
      <c r="H32">
        <v>3</v>
      </c>
      <c r="I32" t="s">
        <v>97</v>
      </c>
      <c r="J32" t="s">
        <v>100</v>
      </c>
      <c r="K32" t="s">
        <v>98</v>
      </c>
      <c r="L32">
        <v>1374</v>
      </c>
      <c r="N32">
        <v>1013</v>
      </c>
      <c r="O32" t="s">
        <v>99</v>
      </c>
      <c r="P32" t="s">
        <v>99</v>
      </c>
      <c r="Q32">
        <v>1</v>
      </c>
      <c r="X32">
        <v>2.83</v>
      </c>
      <c r="Y32">
        <v>1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 t="s">
        <v>3</v>
      </c>
      <c r="AG32">
        <v>2.83</v>
      </c>
      <c r="AH32">
        <v>2</v>
      </c>
      <c r="AI32">
        <v>53680241</v>
      </c>
      <c r="AJ32">
        <v>29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ROW(Source!A42)</f>
        <v>42</v>
      </c>
      <c r="B33">
        <v>53680252</v>
      </c>
      <c r="C33">
        <v>53680235</v>
      </c>
      <c r="D33">
        <v>51481594</v>
      </c>
      <c r="E33">
        <v>1</v>
      </c>
      <c r="F33">
        <v>1</v>
      </c>
      <c r="G33">
        <v>1</v>
      </c>
      <c r="H33">
        <v>3</v>
      </c>
      <c r="I33" t="s">
        <v>305</v>
      </c>
      <c r="J33" t="s">
        <v>306</v>
      </c>
      <c r="K33" t="s">
        <v>307</v>
      </c>
      <c r="L33">
        <v>1348</v>
      </c>
      <c r="N33">
        <v>1009</v>
      </c>
      <c r="O33" t="s">
        <v>69</v>
      </c>
      <c r="P33" t="s">
        <v>69</v>
      </c>
      <c r="Q33">
        <v>1000</v>
      </c>
      <c r="X33">
        <v>1.5E-3</v>
      </c>
      <c r="Y33">
        <v>35011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1.5E-3</v>
      </c>
      <c r="AH33">
        <v>2</v>
      </c>
      <c r="AI33">
        <v>53680242</v>
      </c>
      <c r="AJ33">
        <v>30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ROW(Source!A42)</f>
        <v>42</v>
      </c>
      <c r="B34">
        <v>53680253</v>
      </c>
      <c r="C34">
        <v>53680235</v>
      </c>
      <c r="D34">
        <v>51481800</v>
      </c>
      <c r="E34">
        <v>1</v>
      </c>
      <c r="F34">
        <v>1</v>
      </c>
      <c r="G34">
        <v>1</v>
      </c>
      <c r="H34">
        <v>3</v>
      </c>
      <c r="I34" t="s">
        <v>308</v>
      </c>
      <c r="J34" t="s">
        <v>309</v>
      </c>
      <c r="K34" t="s">
        <v>310</v>
      </c>
      <c r="L34">
        <v>1348</v>
      </c>
      <c r="N34">
        <v>1009</v>
      </c>
      <c r="O34" t="s">
        <v>69</v>
      </c>
      <c r="P34" t="s">
        <v>69</v>
      </c>
      <c r="Q34">
        <v>1000</v>
      </c>
      <c r="X34">
        <v>5.0000000000000001E-4</v>
      </c>
      <c r="Y34">
        <v>9526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5.0000000000000001E-4</v>
      </c>
      <c r="AH34">
        <v>2</v>
      </c>
      <c r="AI34">
        <v>53680243</v>
      </c>
      <c r="AJ34">
        <v>31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ROW(Source!A42)</f>
        <v>42</v>
      </c>
      <c r="B35">
        <v>53680254</v>
      </c>
      <c r="C35">
        <v>53680235</v>
      </c>
      <c r="D35">
        <v>51470020</v>
      </c>
      <c r="E35">
        <v>52</v>
      </c>
      <c r="F35">
        <v>1</v>
      </c>
      <c r="G35">
        <v>1</v>
      </c>
      <c r="H35">
        <v>3</v>
      </c>
      <c r="I35" t="s">
        <v>102</v>
      </c>
      <c r="J35" t="s">
        <v>3</v>
      </c>
      <c r="K35" t="s">
        <v>103</v>
      </c>
      <c r="L35">
        <v>1371</v>
      </c>
      <c r="N35">
        <v>1013</v>
      </c>
      <c r="O35" t="s">
        <v>32</v>
      </c>
      <c r="P35" t="s">
        <v>32</v>
      </c>
      <c r="Q35">
        <v>1</v>
      </c>
      <c r="X35">
        <v>0</v>
      </c>
      <c r="Y35">
        <v>0</v>
      </c>
      <c r="Z35">
        <v>0</v>
      </c>
      <c r="AA35">
        <v>0</v>
      </c>
      <c r="AB35">
        <v>0</v>
      </c>
      <c r="AC35">
        <v>1</v>
      </c>
      <c r="AD35">
        <v>0</v>
      </c>
      <c r="AE35">
        <v>0</v>
      </c>
      <c r="AF35" t="s">
        <v>3</v>
      </c>
      <c r="AG35">
        <v>0</v>
      </c>
      <c r="AH35">
        <v>2</v>
      </c>
      <c r="AI35">
        <v>53680244</v>
      </c>
      <c r="AJ35">
        <v>32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ROW(Source!A42)</f>
        <v>42</v>
      </c>
      <c r="B36">
        <v>53680255</v>
      </c>
      <c r="C36">
        <v>53680235</v>
      </c>
      <c r="D36">
        <v>51470181</v>
      </c>
      <c r="E36">
        <v>52</v>
      </c>
      <c r="F36">
        <v>1</v>
      </c>
      <c r="G36">
        <v>1</v>
      </c>
      <c r="H36">
        <v>3</v>
      </c>
      <c r="I36" t="s">
        <v>105</v>
      </c>
      <c r="J36" t="s">
        <v>3</v>
      </c>
      <c r="K36" t="s">
        <v>106</v>
      </c>
      <c r="L36">
        <v>1348</v>
      </c>
      <c r="N36">
        <v>1009</v>
      </c>
      <c r="O36" t="s">
        <v>69</v>
      </c>
      <c r="P36" t="s">
        <v>69</v>
      </c>
      <c r="Q36">
        <v>1000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0</v>
      </c>
      <c r="AE36">
        <v>0</v>
      </c>
      <c r="AF36" t="s">
        <v>3</v>
      </c>
      <c r="AG36">
        <v>0</v>
      </c>
      <c r="AH36">
        <v>2</v>
      </c>
      <c r="AI36">
        <v>53680245</v>
      </c>
      <c r="AJ36">
        <v>33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ROW(Source!A47)</f>
        <v>47</v>
      </c>
      <c r="B37">
        <v>53680612</v>
      </c>
      <c r="C37">
        <v>53680603</v>
      </c>
      <c r="D37">
        <v>47133210</v>
      </c>
      <c r="E37">
        <v>52</v>
      </c>
      <c r="F37">
        <v>1</v>
      </c>
      <c r="G37">
        <v>1</v>
      </c>
      <c r="H37">
        <v>1</v>
      </c>
      <c r="I37" t="s">
        <v>311</v>
      </c>
      <c r="J37" t="s">
        <v>3</v>
      </c>
      <c r="K37" t="s">
        <v>312</v>
      </c>
      <c r="L37">
        <v>1191</v>
      </c>
      <c r="N37">
        <v>1013</v>
      </c>
      <c r="O37" t="s">
        <v>252</v>
      </c>
      <c r="P37" t="s">
        <v>252</v>
      </c>
      <c r="Q37">
        <v>1</v>
      </c>
      <c r="X37">
        <v>67.7</v>
      </c>
      <c r="Y37">
        <v>0</v>
      </c>
      <c r="Z37">
        <v>0</v>
      </c>
      <c r="AA37">
        <v>0</v>
      </c>
      <c r="AB37">
        <v>8.02</v>
      </c>
      <c r="AC37">
        <v>0</v>
      </c>
      <c r="AD37">
        <v>1</v>
      </c>
      <c r="AE37">
        <v>1</v>
      </c>
      <c r="AF37" t="s">
        <v>3</v>
      </c>
      <c r="AG37">
        <v>67.7</v>
      </c>
      <c r="AH37">
        <v>2</v>
      </c>
      <c r="AI37">
        <v>53680604</v>
      </c>
      <c r="AJ37">
        <v>34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ROW(Source!A47)</f>
        <v>47</v>
      </c>
      <c r="B38">
        <v>53680613</v>
      </c>
      <c r="C38">
        <v>53680603</v>
      </c>
      <c r="D38">
        <v>47133177</v>
      </c>
      <c r="E38">
        <v>52</v>
      </c>
      <c r="F38">
        <v>1</v>
      </c>
      <c r="G38">
        <v>1</v>
      </c>
      <c r="H38">
        <v>1</v>
      </c>
      <c r="I38" t="s">
        <v>253</v>
      </c>
      <c r="J38" t="s">
        <v>3</v>
      </c>
      <c r="K38" t="s">
        <v>254</v>
      </c>
      <c r="L38">
        <v>1191</v>
      </c>
      <c r="N38">
        <v>1013</v>
      </c>
      <c r="O38" t="s">
        <v>252</v>
      </c>
      <c r="P38" t="s">
        <v>252</v>
      </c>
      <c r="Q38">
        <v>1</v>
      </c>
      <c r="X38">
        <v>4.2</v>
      </c>
      <c r="Y38">
        <v>0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2</v>
      </c>
      <c r="AF38" t="s">
        <v>3</v>
      </c>
      <c r="AG38">
        <v>4.2</v>
      </c>
      <c r="AH38">
        <v>2</v>
      </c>
      <c r="AI38">
        <v>53680605</v>
      </c>
      <c r="AJ38">
        <v>35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ROW(Source!A47)</f>
        <v>47</v>
      </c>
      <c r="B39">
        <v>53680614</v>
      </c>
      <c r="C39">
        <v>53680603</v>
      </c>
      <c r="D39">
        <v>51629427</v>
      </c>
      <c r="E39">
        <v>1</v>
      </c>
      <c r="F39">
        <v>1</v>
      </c>
      <c r="G39">
        <v>1</v>
      </c>
      <c r="H39">
        <v>2</v>
      </c>
      <c r="I39" t="s">
        <v>313</v>
      </c>
      <c r="J39" t="s">
        <v>314</v>
      </c>
      <c r="K39" t="s">
        <v>315</v>
      </c>
      <c r="L39">
        <v>1368</v>
      </c>
      <c r="N39">
        <v>1011</v>
      </c>
      <c r="O39" t="s">
        <v>258</v>
      </c>
      <c r="P39" t="s">
        <v>258</v>
      </c>
      <c r="Q39">
        <v>1</v>
      </c>
      <c r="X39">
        <v>1.73</v>
      </c>
      <c r="Y39">
        <v>0</v>
      </c>
      <c r="Z39">
        <v>31.26</v>
      </c>
      <c r="AA39">
        <v>13.5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1.73</v>
      </c>
      <c r="AH39">
        <v>2</v>
      </c>
      <c r="AI39">
        <v>53680606</v>
      </c>
      <c r="AJ39">
        <v>36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ROW(Source!A47)</f>
        <v>47</v>
      </c>
      <c r="B40">
        <v>53680615</v>
      </c>
      <c r="C40">
        <v>53680603</v>
      </c>
      <c r="D40">
        <v>51630243</v>
      </c>
      <c r="E40">
        <v>1</v>
      </c>
      <c r="F40">
        <v>1</v>
      </c>
      <c r="G40">
        <v>1</v>
      </c>
      <c r="H40">
        <v>2</v>
      </c>
      <c r="I40" t="s">
        <v>262</v>
      </c>
      <c r="J40" t="s">
        <v>263</v>
      </c>
      <c r="K40" t="s">
        <v>264</v>
      </c>
      <c r="L40">
        <v>1368</v>
      </c>
      <c r="N40">
        <v>1011</v>
      </c>
      <c r="O40" t="s">
        <v>258</v>
      </c>
      <c r="P40" t="s">
        <v>258</v>
      </c>
      <c r="Q40">
        <v>1</v>
      </c>
      <c r="X40">
        <v>2.4700000000000002</v>
      </c>
      <c r="Y40">
        <v>0</v>
      </c>
      <c r="Z40">
        <v>65.709999999999994</v>
      </c>
      <c r="AA40">
        <v>11.6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2.4700000000000002</v>
      </c>
      <c r="AH40">
        <v>2</v>
      </c>
      <c r="AI40">
        <v>53680607</v>
      </c>
      <c r="AJ40">
        <v>37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ROW(Source!A47)</f>
        <v>47</v>
      </c>
      <c r="B41">
        <v>53680616</v>
      </c>
      <c r="C41">
        <v>53680603</v>
      </c>
      <c r="D41">
        <v>51481661</v>
      </c>
      <c r="E41">
        <v>1</v>
      </c>
      <c r="F41">
        <v>1</v>
      </c>
      <c r="G41">
        <v>1</v>
      </c>
      <c r="H41">
        <v>3</v>
      </c>
      <c r="I41" t="s">
        <v>277</v>
      </c>
      <c r="J41" t="s">
        <v>278</v>
      </c>
      <c r="K41" t="s">
        <v>279</v>
      </c>
      <c r="L41">
        <v>1348</v>
      </c>
      <c r="N41">
        <v>1009</v>
      </c>
      <c r="O41" t="s">
        <v>69</v>
      </c>
      <c r="P41" t="s">
        <v>69</v>
      </c>
      <c r="Q41">
        <v>1000</v>
      </c>
      <c r="X41">
        <v>1.2E-2</v>
      </c>
      <c r="Y41">
        <v>11978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1.2E-2</v>
      </c>
      <c r="AH41">
        <v>2</v>
      </c>
      <c r="AI41">
        <v>53680608</v>
      </c>
      <c r="AJ41">
        <v>38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ROW(Source!A47)</f>
        <v>47</v>
      </c>
      <c r="B42">
        <v>53680617</v>
      </c>
      <c r="C42">
        <v>53680603</v>
      </c>
      <c r="D42">
        <v>51497347</v>
      </c>
      <c r="E42">
        <v>1</v>
      </c>
      <c r="F42">
        <v>1</v>
      </c>
      <c r="G42">
        <v>1</v>
      </c>
      <c r="H42">
        <v>3</v>
      </c>
      <c r="I42" t="s">
        <v>316</v>
      </c>
      <c r="J42" t="s">
        <v>317</v>
      </c>
      <c r="K42" t="s">
        <v>318</v>
      </c>
      <c r="L42">
        <v>1348</v>
      </c>
      <c r="N42">
        <v>1009</v>
      </c>
      <c r="O42" t="s">
        <v>69</v>
      </c>
      <c r="P42" t="s">
        <v>69</v>
      </c>
      <c r="Q42">
        <v>1000</v>
      </c>
      <c r="X42">
        <v>3.5000000000000003E-2</v>
      </c>
      <c r="Y42">
        <v>5989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3.5000000000000003E-2</v>
      </c>
      <c r="AH42">
        <v>2</v>
      </c>
      <c r="AI42">
        <v>53680609</v>
      </c>
      <c r="AJ42">
        <v>39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ROW(Source!A47)</f>
        <v>47</v>
      </c>
      <c r="B43">
        <v>53680618</v>
      </c>
      <c r="C43">
        <v>53680603</v>
      </c>
      <c r="D43">
        <v>51470446</v>
      </c>
      <c r="E43">
        <v>52</v>
      </c>
      <c r="F43">
        <v>1</v>
      </c>
      <c r="G43">
        <v>1</v>
      </c>
      <c r="H43">
        <v>3</v>
      </c>
      <c r="I43" t="s">
        <v>113</v>
      </c>
      <c r="J43" t="s">
        <v>3</v>
      </c>
      <c r="K43" t="s">
        <v>114</v>
      </c>
      <c r="L43">
        <v>1371</v>
      </c>
      <c r="N43">
        <v>1013</v>
      </c>
      <c r="O43" t="s">
        <v>32</v>
      </c>
      <c r="P43" t="s">
        <v>32</v>
      </c>
      <c r="Q43">
        <v>1</v>
      </c>
      <c r="X43">
        <v>100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 t="s">
        <v>3</v>
      </c>
      <c r="AG43">
        <v>100</v>
      </c>
      <c r="AH43">
        <v>2</v>
      </c>
      <c r="AI43">
        <v>53680610</v>
      </c>
      <c r="AJ43">
        <v>40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ROW(Source!A47)</f>
        <v>47</v>
      </c>
      <c r="B44">
        <v>53680619</v>
      </c>
      <c r="C44">
        <v>53680603</v>
      </c>
      <c r="D44">
        <v>51504332</v>
      </c>
      <c r="E44">
        <v>1</v>
      </c>
      <c r="F44">
        <v>1</v>
      </c>
      <c r="G44">
        <v>1</v>
      </c>
      <c r="H44">
        <v>3</v>
      </c>
      <c r="I44" t="s">
        <v>319</v>
      </c>
      <c r="J44" t="s">
        <v>320</v>
      </c>
      <c r="K44" t="s">
        <v>321</v>
      </c>
      <c r="L44">
        <v>1301</v>
      </c>
      <c r="N44">
        <v>1003</v>
      </c>
      <c r="O44" t="s">
        <v>36</v>
      </c>
      <c r="P44" t="s">
        <v>36</v>
      </c>
      <c r="Q44">
        <v>1</v>
      </c>
      <c r="X44">
        <v>400</v>
      </c>
      <c r="Y44">
        <v>3.2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400</v>
      </c>
      <c r="AH44">
        <v>2</v>
      </c>
      <c r="AI44">
        <v>53680611</v>
      </c>
      <c r="AJ44">
        <v>41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256" width="9.140625" customWidth="1"/>
  </cols>
  <sheetData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Смета по ФЕР 421+557пр (12</vt:lpstr>
      <vt:lpstr>Source</vt:lpstr>
      <vt:lpstr>SourceObSm</vt:lpstr>
      <vt:lpstr>SmtRes</vt:lpstr>
      <vt:lpstr>EtalonRes</vt:lpstr>
      <vt:lpstr>SrcKA</vt:lpstr>
      <vt:lpstr>'Смета по ФЕР 421+557пр (12'!Заголовки_для_печати</vt:lpstr>
      <vt:lpstr>'Смета по ФЕР 421+557пр (12'!Область_печати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2024-08-28T05:10:47Z</cp:lastPrinted>
  <dcterms:created xsi:type="dcterms:W3CDTF">2024-06-03T22:02:25Z</dcterms:created>
  <dcterms:modified xsi:type="dcterms:W3CDTF">2024-08-28T05:10:50Z</dcterms:modified>
</cp:coreProperties>
</file>